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bt\Nouran Youssef\word &amp; Excell Documents for the Web Site\Converter to the Website\أذون وسندات الخزانة\"/>
    </mc:Choice>
  </mc:AlternateContent>
  <xr:revisionPtr revIDLastSave="0" documentId="8_{DB55643A-0DC9-4232-97A8-3B1CA1C57091}" xr6:coauthVersionLast="47" xr6:coauthVersionMax="47" xr10:uidLastSave="{00000000-0000-0000-0000-000000000000}"/>
  <bookViews>
    <workbookView xWindow="-120" yWindow="-120" windowWidth="29040" windowHeight="15840" xr2:uid="{535FE979-D4C7-4E45-A6CE-7E77E02184EE}"/>
  </bookViews>
  <sheets>
    <sheet name="Shee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1" i="1" l="1"/>
  <c r="A281" i="1"/>
  <c r="C268" i="1"/>
  <c r="A268" i="1"/>
  <c r="C250" i="1"/>
  <c r="A250" i="1"/>
  <c r="A245" i="1"/>
  <c r="C212" i="1"/>
  <c r="A207" i="1"/>
  <c r="A206" i="1"/>
  <c r="A201" i="1"/>
  <c r="A194" i="1"/>
  <c r="A193" i="1"/>
  <c r="A192" i="1"/>
  <c r="A187" i="1"/>
  <c r="A186" i="1"/>
  <c r="A185" i="1"/>
  <c r="A184" i="1"/>
  <c r="A183" i="1"/>
  <c r="A182" i="1"/>
  <c r="A181" i="1"/>
  <c r="A180" i="1"/>
  <c r="A212" i="1" s="1"/>
  <c r="C170" i="1"/>
  <c r="A168" i="1"/>
  <c r="A166" i="1"/>
  <c r="A165" i="1"/>
  <c r="A164" i="1"/>
  <c r="A162" i="1"/>
  <c r="A161" i="1"/>
  <c r="A160" i="1"/>
  <c r="A159" i="1"/>
  <c r="A158" i="1"/>
  <c r="A157" i="1"/>
  <c r="A155" i="1"/>
  <c r="A150" i="1"/>
  <c r="A149" i="1"/>
  <c r="A148" i="1"/>
  <c r="A147" i="1"/>
  <c r="A146" i="1"/>
  <c r="A145" i="1"/>
  <c r="A144" i="1"/>
  <c r="A143" i="1"/>
  <c r="A142" i="1"/>
  <c r="A141" i="1"/>
  <c r="A140" i="1"/>
  <c r="A138" i="1"/>
  <c r="A137" i="1"/>
  <c r="A136" i="1"/>
  <c r="A135" i="1"/>
  <c r="A134" i="1"/>
  <c r="A133" i="1"/>
  <c r="A132" i="1"/>
  <c r="A131" i="1"/>
  <c r="A130" i="1"/>
  <c r="A126" i="1"/>
  <c r="A123" i="1"/>
  <c r="A122" i="1"/>
  <c r="A121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98" i="1"/>
  <c r="A96" i="1"/>
  <c r="A94" i="1"/>
  <c r="A90" i="1"/>
  <c r="A89" i="1"/>
  <c r="A88" i="1"/>
  <c r="A85" i="1"/>
  <c r="A84" i="1"/>
  <c r="A81" i="1"/>
  <c r="A80" i="1"/>
  <c r="A79" i="1"/>
  <c r="A78" i="1"/>
  <c r="A77" i="1"/>
  <c r="A76" i="1"/>
  <c r="A75" i="1"/>
  <c r="A74" i="1"/>
  <c r="A73" i="1"/>
  <c r="A72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4" i="1"/>
  <c r="A23" i="1"/>
  <c r="A22" i="1"/>
  <c r="A21" i="1"/>
  <c r="A20" i="1"/>
  <c r="A19" i="1"/>
  <c r="A18" i="1"/>
  <c r="A17" i="1"/>
  <c r="A16" i="1"/>
  <c r="A15" i="1"/>
  <c r="A14" i="1"/>
  <c r="A12" i="1"/>
  <c r="A11" i="1"/>
  <c r="A10" i="1"/>
  <c r="A9" i="1"/>
  <c r="A170" i="1" s="1"/>
</calcChain>
</file>

<file path=xl/sharedStrings.xml><?xml version="1.0" encoding="utf-8"?>
<sst xmlns="http://schemas.openxmlformats.org/spreadsheetml/2006/main" count="264" uniqueCount="35">
  <si>
    <t>الرصيد القائم لسندات الخزانة في 31 أكتوبر 2022</t>
  </si>
  <si>
    <t>أولاً: بالجنيه المصري</t>
  </si>
  <si>
    <t>القيمة الإسمية</t>
  </si>
  <si>
    <t>تاريخ الإصدار</t>
  </si>
  <si>
    <t>الكوبون %</t>
  </si>
  <si>
    <t>تاريخ الإستحقاق</t>
  </si>
  <si>
    <t xml:space="preserve">التقييم الإئتماني
 لمؤسسة S&amp;P </t>
  </si>
  <si>
    <t>B</t>
  </si>
  <si>
    <t>B-</t>
  </si>
  <si>
    <t>CCC+</t>
  </si>
  <si>
    <t>BBB-</t>
  </si>
  <si>
    <t>سندات ذات العائد المتغير</t>
  </si>
  <si>
    <t>ثانيا: سندات صفرية الكوبون</t>
  </si>
  <si>
    <t xml:space="preserve">التقييم الإئتماني 
لمؤسسة S&amp;P </t>
  </si>
  <si>
    <t xml:space="preserve">ثالثاً: سندات دولارية (بالدولار الأمريكي) </t>
  </si>
  <si>
    <t xml:space="preserve">التقييم الإئتماني </t>
  </si>
  <si>
    <t>B*/B-***</t>
  </si>
  <si>
    <t>B+*/B***</t>
  </si>
  <si>
    <t>B*/B***</t>
  </si>
  <si>
    <t>B*</t>
  </si>
  <si>
    <t>B*/B3**</t>
  </si>
  <si>
    <t>BB+</t>
  </si>
  <si>
    <t>*/ بناءاً علي تقييم مؤسسة Fitch</t>
  </si>
  <si>
    <t>**/ بناءاً علي تقييم مؤسسة Moodys</t>
  </si>
  <si>
    <t>***/ بناءاً علي تقييم مؤسسة S&amp;P</t>
  </si>
  <si>
    <t>سندات خضراء</t>
  </si>
  <si>
    <t xml:space="preserve">رابعاً: سندات دولارية (باليورو) </t>
  </si>
  <si>
    <t xml:space="preserve">التقييم الإئتماني  </t>
  </si>
  <si>
    <t>B*/B+**</t>
  </si>
  <si>
    <t>B-*/B**</t>
  </si>
  <si>
    <t>*/ بناءاً علي تقييم مؤسسة S&amp;P</t>
  </si>
  <si>
    <t>**/ بناءاً علي تقييم مؤسسة Fitch</t>
  </si>
  <si>
    <t xml:space="preserve">رابعاً: سندات دولارية (بالين) </t>
  </si>
  <si>
    <t>AA(JCR)*</t>
  </si>
  <si>
    <t>*/ بناءاً علي تقييم JCR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</si>
</sst>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[$-10B0000]d\ mmmm\ yyyy;@"/>
    <numFmt numFmtId="166" formatCode="0.000"/>
    <numFmt numFmtId="167" formatCode="[$-409]d\-mmm\-yy;@"/>
    <numFmt numFmtId="168" formatCode="0.000%"/>
    <numFmt numFmtId="169" formatCode="#,##0.000"/>
  </numFmts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b/>
      <sz val="18"/>
      <name val="Arabic Transparent"/>
      <charset val="178"/>
    </font>
    <font>
      <sz val="12"/>
      <name val="Arabic Transparent"/>
      <charset val="178"/>
    </font>
    <font>
      <b/>
      <sz val="16"/>
      <name val="Arabic Transparent"/>
      <charset val="178"/>
    </font>
    <font>
      <sz val="16"/>
      <name val="Arabic Transparent"/>
      <charset val="178"/>
    </font>
    <font>
      <sz val="14"/>
      <name val="Arabic Transparent"/>
      <charset val="178"/>
    </font>
    <font>
      <b/>
      <sz val="14"/>
      <name val="Arabic Transparent"/>
      <charset val="178"/>
    </font>
    <font>
      <b/>
      <sz val="12"/>
      <name val="Arabic Transparent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4" fontId="5" fillId="2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0" fontId="6" fillId="0" borderId="0" xfId="0" applyFont="1"/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 wrapText="1" readingOrder="2"/>
    </xf>
    <xf numFmtId="0" fontId="7" fillId="0" borderId="0" xfId="0" applyFont="1"/>
    <xf numFmtId="3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center"/>
    </xf>
    <xf numFmtId="3" fontId="2" fillId="0" borderId="0" xfId="0" applyNumberFormat="1" applyFont="1"/>
    <xf numFmtId="3" fontId="8" fillId="3" borderId="0" xfId="0" applyNumberFormat="1" applyFont="1" applyFill="1" applyAlignment="1">
      <alignment horizontal="center"/>
    </xf>
    <xf numFmtId="165" fontId="8" fillId="3" borderId="0" xfId="0" applyNumberFormat="1" applyFont="1" applyFill="1" applyAlignment="1">
      <alignment horizontal="center"/>
    </xf>
    <xf numFmtId="166" fontId="8" fillId="3" borderId="0" xfId="0" applyNumberFormat="1" applyFont="1" applyFill="1" applyAlignment="1">
      <alignment horizontal="center"/>
    </xf>
    <xf numFmtId="4" fontId="9" fillId="3" borderId="0" xfId="0" applyNumberFormat="1" applyFont="1" applyFill="1" applyAlignment="1">
      <alignment horizontal="center"/>
    </xf>
    <xf numFmtId="167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5" fontId="7" fillId="0" borderId="0" xfId="0" applyNumberFormat="1" applyFont="1" applyAlignment="1">
      <alignment horizontal="center"/>
    </xf>
    <xf numFmtId="168" fontId="8" fillId="0" borderId="0" xfId="1" applyNumberFormat="1" applyFont="1" applyAlignment="1">
      <alignment horizontal="center" readingOrder="2"/>
    </xf>
    <xf numFmtId="3" fontId="5" fillId="3" borderId="0" xfId="0" applyNumberFormat="1" applyFont="1" applyFill="1" applyAlignment="1">
      <alignment horizontal="center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 applyAlignment="1">
      <alignment vertical="justify" readingOrder="2"/>
    </xf>
    <xf numFmtId="169" fontId="8" fillId="0" borderId="0" xfId="0" applyNumberFormat="1" applyFont="1" applyAlignment="1">
      <alignment horizontal="center" vertical="justify" readingOrder="2"/>
    </xf>
    <xf numFmtId="4" fontId="5" fillId="2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/>
    </xf>
    <xf numFmtId="3" fontId="8" fillId="4" borderId="0" xfId="0" applyNumberFormat="1" applyFont="1" applyFill="1" applyAlignment="1">
      <alignment horizontal="center"/>
    </xf>
    <xf numFmtId="165" fontId="8" fillId="4" borderId="0" xfId="0" applyNumberFormat="1" applyFont="1" applyFill="1" applyAlignment="1">
      <alignment horizontal="center"/>
    </xf>
    <xf numFmtId="164" fontId="8" fillId="4" borderId="0" xfId="0" applyNumberFormat="1" applyFont="1" applyFill="1" applyAlignment="1">
      <alignment horizontal="center"/>
    </xf>
    <xf numFmtId="4" fontId="9" fillId="4" borderId="0" xfId="0" applyNumberFormat="1" applyFont="1" applyFill="1" applyAlignment="1">
      <alignment horizontal="center"/>
    </xf>
    <xf numFmtId="4" fontId="7" fillId="0" borderId="0" xfId="0" applyNumberFormat="1" applyFont="1" applyAlignment="1">
      <alignment horizontal="center"/>
    </xf>
    <xf numFmtId="17" fontId="7" fillId="0" borderId="0" xfId="0" applyNumberFormat="1" applyFont="1" applyAlignment="1">
      <alignment horizontal="center"/>
    </xf>
    <xf numFmtId="3" fontId="9" fillId="4" borderId="0" xfId="0" applyNumberFormat="1" applyFont="1" applyFill="1" applyAlignment="1">
      <alignment horizontal="right"/>
    </xf>
    <xf numFmtId="4" fontId="5" fillId="2" borderId="0" xfId="0" applyNumberFormat="1" applyFont="1" applyFill="1"/>
    <xf numFmtId="4" fontId="5" fillId="0" borderId="0" xfId="0" applyNumberFormat="1" applyFont="1"/>
    <xf numFmtId="165" fontId="9" fillId="0" borderId="0" xfId="0" applyNumberFormat="1" applyFont="1" applyAlignment="1">
      <alignment horizontal="center"/>
    </xf>
    <xf numFmtId="166" fontId="9" fillId="0" borderId="0" xfId="0" applyNumberFormat="1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</xdr:col>
      <xdr:colOff>9525</xdr:colOff>
      <xdr:row>3</xdr:row>
      <xdr:rowOff>9525</xdr:rowOff>
    </xdr:to>
    <xdr:pic>
      <xdr:nvPicPr>
        <xdr:cNvPr id="2" name="Picture 2" descr="final logo elmalya2005">
          <a:extLst>
            <a:ext uri="{FF2B5EF4-FFF2-40B4-BE49-F238E27FC236}">
              <a16:creationId xmlns:a16="http://schemas.microsoft.com/office/drawing/2014/main" id="{F23FF400-2135-405C-B635-045747B74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467550" y="9525"/>
          <a:ext cx="222885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bt/Nouran%20Youssef/word%20&amp;%20Excell%20Documents%20for%20the%20Web%20Site/&#1571;&#1584;&#1608;&#1606;%20&#1608;&#1587;&#1606;&#1583;&#1575;&#1578;%20&#1575;&#1604;&#1582;&#1586;&#1575;&#1606;&#1577;/Sarah%20since%20July%202011/&#1575;&#1604;&#1585;&#1589;&#1610;&#1583;%20&#1575;&#1604;&#1602;&#1575;&#1574;&#1605;%20&#1605;&#1606;%20&#1587;&#1606;&#1583;&#1575;&#1578;%20&#1575;&#1604;&#1582;&#1586;&#1575;&#1606;&#1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رصيد السندات الدولارية"/>
      <sheetName val="31 أكتوبر 22"/>
      <sheetName val="Weighted Average"/>
      <sheetName val="30 سبتمبر 22"/>
      <sheetName val="31 أغسطس 22"/>
      <sheetName val="31 يوليو 22"/>
      <sheetName val="30 يونيو 22"/>
      <sheetName val="31 مايو 22"/>
      <sheetName val="30 أبريل 22"/>
      <sheetName val="31 مارس 22"/>
      <sheetName val="28 فبراير 22"/>
      <sheetName val="31 يناير 22"/>
      <sheetName val="31 ديسمبر 21"/>
      <sheetName val="30 نوفمبر 21"/>
      <sheetName val="31 يوليو 2021"/>
      <sheetName val="30 يونيو 21"/>
      <sheetName val="31 مايو 2021"/>
      <sheetName val="30 أبريل 2021"/>
      <sheetName val="31 مارس 2021"/>
      <sheetName val="28 فبراير 2021"/>
      <sheetName val="31 يناير 2021"/>
      <sheetName val="31 ديسمبر 20"/>
      <sheetName val="30 نوفمبر 20"/>
      <sheetName val="31 أكتوبر 20"/>
      <sheetName val="30 سبتمبر 20"/>
      <sheetName val="31 أغسطس 20"/>
      <sheetName val="31 يوليو 20"/>
      <sheetName val="30 يونيو 20"/>
      <sheetName val="31 مايو 20"/>
      <sheetName val="30 أبريل 20"/>
      <sheetName val="31 مارس 20"/>
      <sheetName val="29 فبراير 20"/>
      <sheetName val="31 يناير 20"/>
      <sheetName val="31 ديسمبر 19"/>
      <sheetName val="30 نوفمبر 19"/>
      <sheetName val="31 أكتوبر 19"/>
      <sheetName val="30 سبتمبر 19"/>
      <sheetName val="31 أغسطس 19"/>
      <sheetName val="31 يوليو 19"/>
      <sheetName val="30 يونيو 2019"/>
      <sheetName val="31 مايو 2019"/>
      <sheetName val="30أبريل 2019"/>
      <sheetName val="31 مارس 2019"/>
      <sheetName val="28 فبراير 2019"/>
      <sheetName val="31 يناير 2019"/>
      <sheetName val="31 ديسمبر 2018"/>
      <sheetName val="30 نوفمبر 2018"/>
      <sheetName val="31 أكتوبر 2018"/>
      <sheetName val="30 سبتمبر 2018"/>
      <sheetName val="31 أغسطس 2018"/>
      <sheetName val="31 يوليو 2018"/>
      <sheetName val="30 يونيو 2018"/>
      <sheetName val="31 مايو 2018"/>
      <sheetName val="30 أبريل 2018"/>
      <sheetName val="27 مارس 2018"/>
      <sheetName val="28 فبراير 2018"/>
      <sheetName val="31 يناير 2018"/>
      <sheetName val="31 ديسمبر 2017"/>
      <sheetName val="30 نوفمبر 2017"/>
      <sheetName val="31 أكتوبر 2017"/>
      <sheetName val="30 سبتمبر 2017"/>
      <sheetName val="31 أغسطس 2017"/>
      <sheetName val="31 يوليو 2017"/>
      <sheetName val="30 يونيو 2017"/>
      <sheetName val="31 مايو 2017"/>
      <sheetName val="30 أبريل 2017"/>
      <sheetName val="31 مارس 2017"/>
      <sheetName val="28 فبراير 2017"/>
      <sheetName val="31 يناير 2017"/>
      <sheetName val="31 ديسمبر 2016"/>
      <sheetName val="30 نوفمبر 2016"/>
      <sheetName val="30 أكتوبر 2016"/>
      <sheetName val="30 سبتمبر 2016"/>
      <sheetName val="31 أغسطس 2016"/>
      <sheetName val="31 يوليو 2016"/>
      <sheetName val="30 يونيو 2016"/>
      <sheetName val="31 مايو 2016"/>
      <sheetName val="30 أبريل 2016"/>
      <sheetName val="31 مارس 2016"/>
      <sheetName val="29 فبراير 2016"/>
      <sheetName val="31 يناير 2016"/>
      <sheetName val="31 ديسمبر 2015"/>
      <sheetName val="30 نوفمبر 2015"/>
      <sheetName val="31 أكتوبر 2015"/>
      <sheetName val="30 سبتمبر 2015"/>
      <sheetName val="31 أغسطس 2015"/>
      <sheetName val="31 يوليو 2015"/>
      <sheetName val="30 يونيو 2015"/>
      <sheetName val="31 مايو 2015"/>
      <sheetName val="30 أبريل 2015"/>
      <sheetName val="31 مارس 2015"/>
      <sheetName val="28 فبراير 2015"/>
      <sheetName val="31 يناير 2015"/>
      <sheetName val="31 ديسمبر 2014"/>
      <sheetName val="30 نوفمبر 2014"/>
      <sheetName val="31 أكتوبر 2014"/>
      <sheetName val="30 سبتمبر 2014"/>
      <sheetName val="31 أغسطس 2014"/>
      <sheetName val="31 يوليو 2014"/>
      <sheetName val="30 يونيو 2014"/>
      <sheetName val="31 مايو 2014"/>
      <sheetName val="30 أبريل 2014"/>
      <sheetName val="31 مارس 2014"/>
      <sheetName val="28 فبراير 2014"/>
      <sheetName val="31 يناير 2014"/>
      <sheetName val="31 ديسمبر 2013"/>
      <sheetName val="30 نوفمبر 2013"/>
      <sheetName val="31 أكتوبر 2013"/>
      <sheetName val="30 سبتمبر 2013"/>
      <sheetName val="31 أغسطس 2013"/>
      <sheetName val="31 يوليو 2013"/>
      <sheetName val="30 يونيو 2013"/>
      <sheetName val="31 مايو 2013"/>
      <sheetName val="30 أبريل 2013"/>
      <sheetName val="31 مارس 2013"/>
      <sheetName val="28 فبراير 2013"/>
      <sheetName val="31 يناير 2013"/>
      <sheetName val="31 ديسمبر 2012"/>
      <sheetName val="30 نوفمبر"/>
      <sheetName val="31 أكتوبر"/>
      <sheetName val="30 سبتمبر"/>
      <sheetName val="31 أغسطس"/>
      <sheetName val="31 يوليو"/>
      <sheetName val="30 يونيو"/>
      <sheetName val="31 مايو"/>
      <sheetName val="30 أبريل"/>
      <sheetName val="31 مارس "/>
      <sheetName val="13 مارس"/>
      <sheetName val="12 يناير"/>
      <sheetName val="6 ديسمبر"/>
      <sheetName val=" 30 نوفمبر 2011"/>
      <sheetName val="25 أكتوبر"/>
      <sheetName val="6 سبتمبر"/>
      <sheetName val="23 أغسطس"/>
      <sheetName val="2 أغسطس "/>
      <sheetName val="26 يوليو"/>
      <sheetName val="الرصيد في أول يونيو 2010"/>
      <sheetName val="الرصيد في 18 مايو 2010"/>
      <sheetName val="الرصيد في 20 أبريل 2010"/>
      <sheetName val="الرصيد القائم"/>
    </sheetNames>
    <sheetDataSet>
      <sheetData sheetId="0" refreshError="1"/>
      <sheetData sheetId="1" refreshError="1"/>
      <sheetData sheetId="2">
        <row r="255">
          <cell r="C255">
            <v>14.862218448448063</v>
          </cell>
        </row>
        <row r="335">
          <cell r="C335">
            <v>14.549698032454057</v>
          </cell>
        </row>
        <row r="388">
          <cell r="C388">
            <v>7.1256540485238231</v>
          </cell>
        </row>
        <row r="409">
          <cell r="C409">
            <v>5.4765625</v>
          </cell>
        </row>
        <row r="426">
          <cell r="C426">
            <v>0.85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E9AB5-0188-40A4-8309-23E0253C63BA}">
  <dimension ref="A1:F284"/>
  <sheetViews>
    <sheetView rightToLeft="1" tabSelected="1" workbookViewId="0">
      <selection activeCell="F13" sqref="F13"/>
    </sheetView>
  </sheetViews>
  <sheetFormatPr defaultRowHeight="12.75" x14ac:dyDescent="0.2"/>
  <cols>
    <col min="1" max="1" width="29.125" style="1" customWidth="1"/>
    <col min="2" max="2" width="21.875" style="1" customWidth="1"/>
    <col min="3" max="3" width="19.875" style="1" customWidth="1"/>
    <col min="4" max="4" width="20.625" style="1" customWidth="1"/>
    <col min="5" max="5" width="17.375" style="1" bestFit="1" customWidth="1"/>
    <col min="6" max="6" width="13.125" style="1" bestFit="1" customWidth="1"/>
    <col min="7" max="256" width="9" style="1"/>
    <col min="257" max="257" width="29.125" style="1" customWidth="1"/>
    <col min="258" max="258" width="21.875" style="1" customWidth="1"/>
    <col min="259" max="259" width="19.875" style="1" customWidth="1"/>
    <col min="260" max="260" width="20.625" style="1" customWidth="1"/>
    <col min="261" max="261" width="17.375" style="1" bestFit="1" customWidth="1"/>
    <col min="262" max="262" width="13.125" style="1" bestFit="1" customWidth="1"/>
    <col min="263" max="512" width="9" style="1"/>
    <col min="513" max="513" width="29.125" style="1" customWidth="1"/>
    <col min="514" max="514" width="21.875" style="1" customWidth="1"/>
    <col min="515" max="515" width="19.875" style="1" customWidth="1"/>
    <col min="516" max="516" width="20.625" style="1" customWidth="1"/>
    <col min="517" max="517" width="17.375" style="1" bestFit="1" customWidth="1"/>
    <col min="518" max="518" width="13.125" style="1" bestFit="1" customWidth="1"/>
    <col min="519" max="768" width="9" style="1"/>
    <col min="769" max="769" width="29.125" style="1" customWidth="1"/>
    <col min="770" max="770" width="21.875" style="1" customWidth="1"/>
    <col min="771" max="771" width="19.875" style="1" customWidth="1"/>
    <col min="772" max="772" width="20.625" style="1" customWidth="1"/>
    <col min="773" max="773" width="17.375" style="1" bestFit="1" customWidth="1"/>
    <col min="774" max="774" width="13.125" style="1" bestFit="1" customWidth="1"/>
    <col min="775" max="1024" width="9" style="1"/>
    <col min="1025" max="1025" width="29.125" style="1" customWidth="1"/>
    <col min="1026" max="1026" width="21.875" style="1" customWidth="1"/>
    <col min="1027" max="1027" width="19.875" style="1" customWidth="1"/>
    <col min="1028" max="1028" width="20.625" style="1" customWidth="1"/>
    <col min="1029" max="1029" width="17.375" style="1" bestFit="1" customWidth="1"/>
    <col min="1030" max="1030" width="13.125" style="1" bestFit="1" customWidth="1"/>
    <col min="1031" max="1280" width="9" style="1"/>
    <col min="1281" max="1281" width="29.125" style="1" customWidth="1"/>
    <col min="1282" max="1282" width="21.875" style="1" customWidth="1"/>
    <col min="1283" max="1283" width="19.875" style="1" customWidth="1"/>
    <col min="1284" max="1284" width="20.625" style="1" customWidth="1"/>
    <col min="1285" max="1285" width="17.375" style="1" bestFit="1" customWidth="1"/>
    <col min="1286" max="1286" width="13.125" style="1" bestFit="1" customWidth="1"/>
    <col min="1287" max="1536" width="9" style="1"/>
    <col min="1537" max="1537" width="29.125" style="1" customWidth="1"/>
    <col min="1538" max="1538" width="21.875" style="1" customWidth="1"/>
    <col min="1539" max="1539" width="19.875" style="1" customWidth="1"/>
    <col min="1540" max="1540" width="20.625" style="1" customWidth="1"/>
    <col min="1541" max="1541" width="17.375" style="1" bestFit="1" customWidth="1"/>
    <col min="1542" max="1542" width="13.125" style="1" bestFit="1" customWidth="1"/>
    <col min="1543" max="1792" width="9" style="1"/>
    <col min="1793" max="1793" width="29.125" style="1" customWidth="1"/>
    <col min="1794" max="1794" width="21.875" style="1" customWidth="1"/>
    <col min="1795" max="1795" width="19.875" style="1" customWidth="1"/>
    <col min="1796" max="1796" width="20.625" style="1" customWidth="1"/>
    <col min="1797" max="1797" width="17.375" style="1" bestFit="1" customWidth="1"/>
    <col min="1798" max="1798" width="13.125" style="1" bestFit="1" customWidth="1"/>
    <col min="1799" max="2048" width="9" style="1"/>
    <col min="2049" max="2049" width="29.125" style="1" customWidth="1"/>
    <col min="2050" max="2050" width="21.875" style="1" customWidth="1"/>
    <col min="2051" max="2051" width="19.875" style="1" customWidth="1"/>
    <col min="2052" max="2052" width="20.625" style="1" customWidth="1"/>
    <col min="2053" max="2053" width="17.375" style="1" bestFit="1" customWidth="1"/>
    <col min="2054" max="2054" width="13.125" style="1" bestFit="1" customWidth="1"/>
    <col min="2055" max="2304" width="9" style="1"/>
    <col min="2305" max="2305" width="29.125" style="1" customWidth="1"/>
    <col min="2306" max="2306" width="21.875" style="1" customWidth="1"/>
    <col min="2307" max="2307" width="19.875" style="1" customWidth="1"/>
    <col min="2308" max="2308" width="20.625" style="1" customWidth="1"/>
    <col min="2309" max="2309" width="17.375" style="1" bestFit="1" customWidth="1"/>
    <col min="2310" max="2310" width="13.125" style="1" bestFit="1" customWidth="1"/>
    <col min="2311" max="2560" width="9" style="1"/>
    <col min="2561" max="2561" width="29.125" style="1" customWidth="1"/>
    <col min="2562" max="2562" width="21.875" style="1" customWidth="1"/>
    <col min="2563" max="2563" width="19.875" style="1" customWidth="1"/>
    <col min="2564" max="2564" width="20.625" style="1" customWidth="1"/>
    <col min="2565" max="2565" width="17.375" style="1" bestFit="1" customWidth="1"/>
    <col min="2566" max="2566" width="13.125" style="1" bestFit="1" customWidth="1"/>
    <col min="2567" max="2816" width="9" style="1"/>
    <col min="2817" max="2817" width="29.125" style="1" customWidth="1"/>
    <col min="2818" max="2818" width="21.875" style="1" customWidth="1"/>
    <col min="2819" max="2819" width="19.875" style="1" customWidth="1"/>
    <col min="2820" max="2820" width="20.625" style="1" customWidth="1"/>
    <col min="2821" max="2821" width="17.375" style="1" bestFit="1" customWidth="1"/>
    <col min="2822" max="2822" width="13.125" style="1" bestFit="1" customWidth="1"/>
    <col min="2823" max="3072" width="9" style="1"/>
    <col min="3073" max="3073" width="29.125" style="1" customWidth="1"/>
    <col min="3074" max="3074" width="21.875" style="1" customWidth="1"/>
    <col min="3075" max="3075" width="19.875" style="1" customWidth="1"/>
    <col min="3076" max="3076" width="20.625" style="1" customWidth="1"/>
    <col min="3077" max="3077" width="17.375" style="1" bestFit="1" customWidth="1"/>
    <col min="3078" max="3078" width="13.125" style="1" bestFit="1" customWidth="1"/>
    <col min="3079" max="3328" width="9" style="1"/>
    <col min="3329" max="3329" width="29.125" style="1" customWidth="1"/>
    <col min="3330" max="3330" width="21.875" style="1" customWidth="1"/>
    <col min="3331" max="3331" width="19.875" style="1" customWidth="1"/>
    <col min="3332" max="3332" width="20.625" style="1" customWidth="1"/>
    <col min="3333" max="3333" width="17.375" style="1" bestFit="1" customWidth="1"/>
    <col min="3334" max="3334" width="13.125" style="1" bestFit="1" customWidth="1"/>
    <col min="3335" max="3584" width="9" style="1"/>
    <col min="3585" max="3585" width="29.125" style="1" customWidth="1"/>
    <col min="3586" max="3586" width="21.875" style="1" customWidth="1"/>
    <col min="3587" max="3587" width="19.875" style="1" customWidth="1"/>
    <col min="3588" max="3588" width="20.625" style="1" customWidth="1"/>
    <col min="3589" max="3589" width="17.375" style="1" bestFit="1" customWidth="1"/>
    <col min="3590" max="3590" width="13.125" style="1" bestFit="1" customWidth="1"/>
    <col min="3591" max="3840" width="9" style="1"/>
    <col min="3841" max="3841" width="29.125" style="1" customWidth="1"/>
    <col min="3842" max="3842" width="21.875" style="1" customWidth="1"/>
    <col min="3843" max="3843" width="19.875" style="1" customWidth="1"/>
    <col min="3844" max="3844" width="20.625" style="1" customWidth="1"/>
    <col min="3845" max="3845" width="17.375" style="1" bestFit="1" customWidth="1"/>
    <col min="3846" max="3846" width="13.125" style="1" bestFit="1" customWidth="1"/>
    <col min="3847" max="4096" width="9" style="1"/>
    <col min="4097" max="4097" width="29.125" style="1" customWidth="1"/>
    <col min="4098" max="4098" width="21.875" style="1" customWidth="1"/>
    <col min="4099" max="4099" width="19.875" style="1" customWidth="1"/>
    <col min="4100" max="4100" width="20.625" style="1" customWidth="1"/>
    <col min="4101" max="4101" width="17.375" style="1" bestFit="1" customWidth="1"/>
    <col min="4102" max="4102" width="13.125" style="1" bestFit="1" customWidth="1"/>
    <col min="4103" max="4352" width="9" style="1"/>
    <col min="4353" max="4353" width="29.125" style="1" customWidth="1"/>
    <col min="4354" max="4354" width="21.875" style="1" customWidth="1"/>
    <col min="4355" max="4355" width="19.875" style="1" customWidth="1"/>
    <col min="4356" max="4356" width="20.625" style="1" customWidth="1"/>
    <col min="4357" max="4357" width="17.375" style="1" bestFit="1" customWidth="1"/>
    <col min="4358" max="4358" width="13.125" style="1" bestFit="1" customWidth="1"/>
    <col min="4359" max="4608" width="9" style="1"/>
    <col min="4609" max="4609" width="29.125" style="1" customWidth="1"/>
    <col min="4610" max="4610" width="21.875" style="1" customWidth="1"/>
    <col min="4611" max="4611" width="19.875" style="1" customWidth="1"/>
    <col min="4612" max="4612" width="20.625" style="1" customWidth="1"/>
    <col min="4613" max="4613" width="17.375" style="1" bestFit="1" customWidth="1"/>
    <col min="4614" max="4614" width="13.125" style="1" bestFit="1" customWidth="1"/>
    <col min="4615" max="4864" width="9" style="1"/>
    <col min="4865" max="4865" width="29.125" style="1" customWidth="1"/>
    <col min="4866" max="4866" width="21.875" style="1" customWidth="1"/>
    <col min="4867" max="4867" width="19.875" style="1" customWidth="1"/>
    <col min="4868" max="4868" width="20.625" style="1" customWidth="1"/>
    <col min="4869" max="4869" width="17.375" style="1" bestFit="1" customWidth="1"/>
    <col min="4870" max="4870" width="13.125" style="1" bestFit="1" customWidth="1"/>
    <col min="4871" max="5120" width="9" style="1"/>
    <col min="5121" max="5121" width="29.125" style="1" customWidth="1"/>
    <col min="5122" max="5122" width="21.875" style="1" customWidth="1"/>
    <col min="5123" max="5123" width="19.875" style="1" customWidth="1"/>
    <col min="5124" max="5124" width="20.625" style="1" customWidth="1"/>
    <col min="5125" max="5125" width="17.375" style="1" bestFit="1" customWidth="1"/>
    <col min="5126" max="5126" width="13.125" style="1" bestFit="1" customWidth="1"/>
    <col min="5127" max="5376" width="9" style="1"/>
    <col min="5377" max="5377" width="29.125" style="1" customWidth="1"/>
    <col min="5378" max="5378" width="21.875" style="1" customWidth="1"/>
    <col min="5379" max="5379" width="19.875" style="1" customWidth="1"/>
    <col min="5380" max="5380" width="20.625" style="1" customWidth="1"/>
    <col min="5381" max="5381" width="17.375" style="1" bestFit="1" customWidth="1"/>
    <col min="5382" max="5382" width="13.125" style="1" bestFit="1" customWidth="1"/>
    <col min="5383" max="5632" width="9" style="1"/>
    <col min="5633" max="5633" width="29.125" style="1" customWidth="1"/>
    <col min="5634" max="5634" width="21.875" style="1" customWidth="1"/>
    <col min="5635" max="5635" width="19.875" style="1" customWidth="1"/>
    <col min="5636" max="5636" width="20.625" style="1" customWidth="1"/>
    <col min="5637" max="5637" width="17.375" style="1" bestFit="1" customWidth="1"/>
    <col min="5638" max="5638" width="13.125" style="1" bestFit="1" customWidth="1"/>
    <col min="5639" max="5888" width="9" style="1"/>
    <col min="5889" max="5889" width="29.125" style="1" customWidth="1"/>
    <col min="5890" max="5890" width="21.875" style="1" customWidth="1"/>
    <col min="5891" max="5891" width="19.875" style="1" customWidth="1"/>
    <col min="5892" max="5892" width="20.625" style="1" customWidth="1"/>
    <col min="5893" max="5893" width="17.375" style="1" bestFit="1" customWidth="1"/>
    <col min="5894" max="5894" width="13.125" style="1" bestFit="1" customWidth="1"/>
    <col min="5895" max="6144" width="9" style="1"/>
    <col min="6145" max="6145" width="29.125" style="1" customWidth="1"/>
    <col min="6146" max="6146" width="21.875" style="1" customWidth="1"/>
    <col min="6147" max="6147" width="19.875" style="1" customWidth="1"/>
    <col min="6148" max="6148" width="20.625" style="1" customWidth="1"/>
    <col min="6149" max="6149" width="17.375" style="1" bestFit="1" customWidth="1"/>
    <col min="6150" max="6150" width="13.125" style="1" bestFit="1" customWidth="1"/>
    <col min="6151" max="6400" width="9" style="1"/>
    <col min="6401" max="6401" width="29.125" style="1" customWidth="1"/>
    <col min="6402" max="6402" width="21.875" style="1" customWidth="1"/>
    <col min="6403" max="6403" width="19.875" style="1" customWidth="1"/>
    <col min="6404" max="6404" width="20.625" style="1" customWidth="1"/>
    <col min="6405" max="6405" width="17.375" style="1" bestFit="1" customWidth="1"/>
    <col min="6406" max="6406" width="13.125" style="1" bestFit="1" customWidth="1"/>
    <col min="6407" max="6656" width="9" style="1"/>
    <col min="6657" max="6657" width="29.125" style="1" customWidth="1"/>
    <col min="6658" max="6658" width="21.875" style="1" customWidth="1"/>
    <col min="6659" max="6659" width="19.875" style="1" customWidth="1"/>
    <col min="6660" max="6660" width="20.625" style="1" customWidth="1"/>
    <col min="6661" max="6661" width="17.375" style="1" bestFit="1" customWidth="1"/>
    <col min="6662" max="6662" width="13.125" style="1" bestFit="1" customWidth="1"/>
    <col min="6663" max="6912" width="9" style="1"/>
    <col min="6913" max="6913" width="29.125" style="1" customWidth="1"/>
    <col min="6914" max="6914" width="21.875" style="1" customWidth="1"/>
    <col min="6915" max="6915" width="19.875" style="1" customWidth="1"/>
    <col min="6916" max="6916" width="20.625" style="1" customWidth="1"/>
    <col min="6917" max="6917" width="17.375" style="1" bestFit="1" customWidth="1"/>
    <col min="6918" max="6918" width="13.125" style="1" bestFit="1" customWidth="1"/>
    <col min="6919" max="7168" width="9" style="1"/>
    <col min="7169" max="7169" width="29.125" style="1" customWidth="1"/>
    <col min="7170" max="7170" width="21.875" style="1" customWidth="1"/>
    <col min="7171" max="7171" width="19.875" style="1" customWidth="1"/>
    <col min="7172" max="7172" width="20.625" style="1" customWidth="1"/>
    <col min="7173" max="7173" width="17.375" style="1" bestFit="1" customWidth="1"/>
    <col min="7174" max="7174" width="13.125" style="1" bestFit="1" customWidth="1"/>
    <col min="7175" max="7424" width="9" style="1"/>
    <col min="7425" max="7425" width="29.125" style="1" customWidth="1"/>
    <col min="7426" max="7426" width="21.875" style="1" customWidth="1"/>
    <col min="7427" max="7427" width="19.875" style="1" customWidth="1"/>
    <col min="7428" max="7428" width="20.625" style="1" customWidth="1"/>
    <col min="7429" max="7429" width="17.375" style="1" bestFit="1" customWidth="1"/>
    <col min="7430" max="7430" width="13.125" style="1" bestFit="1" customWidth="1"/>
    <col min="7431" max="7680" width="9" style="1"/>
    <col min="7681" max="7681" width="29.125" style="1" customWidth="1"/>
    <col min="7682" max="7682" width="21.875" style="1" customWidth="1"/>
    <col min="7683" max="7683" width="19.875" style="1" customWidth="1"/>
    <col min="7684" max="7684" width="20.625" style="1" customWidth="1"/>
    <col min="7685" max="7685" width="17.375" style="1" bestFit="1" customWidth="1"/>
    <col min="7686" max="7686" width="13.125" style="1" bestFit="1" customWidth="1"/>
    <col min="7687" max="7936" width="9" style="1"/>
    <col min="7937" max="7937" width="29.125" style="1" customWidth="1"/>
    <col min="7938" max="7938" width="21.875" style="1" customWidth="1"/>
    <col min="7939" max="7939" width="19.875" style="1" customWidth="1"/>
    <col min="7940" max="7940" width="20.625" style="1" customWidth="1"/>
    <col min="7941" max="7941" width="17.375" style="1" bestFit="1" customWidth="1"/>
    <col min="7942" max="7942" width="13.125" style="1" bestFit="1" customWidth="1"/>
    <col min="7943" max="8192" width="9" style="1"/>
    <col min="8193" max="8193" width="29.125" style="1" customWidth="1"/>
    <col min="8194" max="8194" width="21.875" style="1" customWidth="1"/>
    <col min="8195" max="8195" width="19.875" style="1" customWidth="1"/>
    <col min="8196" max="8196" width="20.625" style="1" customWidth="1"/>
    <col min="8197" max="8197" width="17.375" style="1" bestFit="1" customWidth="1"/>
    <col min="8198" max="8198" width="13.125" style="1" bestFit="1" customWidth="1"/>
    <col min="8199" max="8448" width="9" style="1"/>
    <col min="8449" max="8449" width="29.125" style="1" customWidth="1"/>
    <col min="8450" max="8450" width="21.875" style="1" customWidth="1"/>
    <col min="8451" max="8451" width="19.875" style="1" customWidth="1"/>
    <col min="8452" max="8452" width="20.625" style="1" customWidth="1"/>
    <col min="8453" max="8453" width="17.375" style="1" bestFit="1" customWidth="1"/>
    <col min="8454" max="8454" width="13.125" style="1" bestFit="1" customWidth="1"/>
    <col min="8455" max="8704" width="9" style="1"/>
    <col min="8705" max="8705" width="29.125" style="1" customWidth="1"/>
    <col min="8706" max="8706" width="21.875" style="1" customWidth="1"/>
    <col min="8707" max="8707" width="19.875" style="1" customWidth="1"/>
    <col min="8708" max="8708" width="20.625" style="1" customWidth="1"/>
    <col min="8709" max="8709" width="17.375" style="1" bestFit="1" customWidth="1"/>
    <col min="8710" max="8710" width="13.125" style="1" bestFit="1" customWidth="1"/>
    <col min="8711" max="8960" width="9" style="1"/>
    <col min="8961" max="8961" width="29.125" style="1" customWidth="1"/>
    <col min="8962" max="8962" width="21.875" style="1" customWidth="1"/>
    <col min="8963" max="8963" width="19.875" style="1" customWidth="1"/>
    <col min="8964" max="8964" width="20.625" style="1" customWidth="1"/>
    <col min="8965" max="8965" width="17.375" style="1" bestFit="1" customWidth="1"/>
    <col min="8966" max="8966" width="13.125" style="1" bestFit="1" customWidth="1"/>
    <col min="8967" max="9216" width="9" style="1"/>
    <col min="9217" max="9217" width="29.125" style="1" customWidth="1"/>
    <col min="9218" max="9218" width="21.875" style="1" customWidth="1"/>
    <col min="9219" max="9219" width="19.875" style="1" customWidth="1"/>
    <col min="9220" max="9220" width="20.625" style="1" customWidth="1"/>
    <col min="9221" max="9221" width="17.375" style="1" bestFit="1" customWidth="1"/>
    <col min="9222" max="9222" width="13.125" style="1" bestFit="1" customWidth="1"/>
    <col min="9223" max="9472" width="9" style="1"/>
    <col min="9473" max="9473" width="29.125" style="1" customWidth="1"/>
    <col min="9474" max="9474" width="21.875" style="1" customWidth="1"/>
    <col min="9475" max="9475" width="19.875" style="1" customWidth="1"/>
    <col min="9476" max="9476" width="20.625" style="1" customWidth="1"/>
    <col min="9477" max="9477" width="17.375" style="1" bestFit="1" customWidth="1"/>
    <col min="9478" max="9478" width="13.125" style="1" bestFit="1" customWidth="1"/>
    <col min="9479" max="9728" width="9" style="1"/>
    <col min="9729" max="9729" width="29.125" style="1" customWidth="1"/>
    <col min="9730" max="9730" width="21.875" style="1" customWidth="1"/>
    <col min="9731" max="9731" width="19.875" style="1" customWidth="1"/>
    <col min="9732" max="9732" width="20.625" style="1" customWidth="1"/>
    <col min="9733" max="9733" width="17.375" style="1" bestFit="1" customWidth="1"/>
    <col min="9734" max="9734" width="13.125" style="1" bestFit="1" customWidth="1"/>
    <col min="9735" max="9984" width="9" style="1"/>
    <col min="9985" max="9985" width="29.125" style="1" customWidth="1"/>
    <col min="9986" max="9986" width="21.875" style="1" customWidth="1"/>
    <col min="9987" max="9987" width="19.875" style="1" customWidth="1"/>
    <col min="9988" max="9988" width="20.625" style="1" customWidth="1"/>
    <col min="9989" max="9989" width="17.375" style="1" bestFit="1" customWidth="1"/>
    <col min="9990" max="9990" width="13.125" style="1" bestFit="1" customWidth="1"/>
    <col min="9991" max="10240" width="9" style="1"/>
    <col min="10241" max="10241" width="29.125" style="1" customWidth="1"/>
    <col min="10242" max="10242" width="21.875" style="1" customWidth="1"/>
    <col min="10243" max="10243" width="19.875" style="1" customWidth="1"/>
    <col min="10244" max="10244" width="20.625" style="1" customWidth="1"/>
    <col min="10245" max="10245" width="17.375" style="1" bestFit="1" customWidth="1"/>
    <col min="10246" max="10246" width="13.125" style="1" bestFit="1" customWidth="1"/>
    <col min="10247" max="10496" width="9" style="1"/>
    <col min="10497" max="10497" width="29.125" style="1" customWidth="1"/>
    <col min="10498" max="10498" width="21.875" style="1" customWidth="1"/>
    <col min="10499" max="10499" width="19.875" style="1" customWidth="1"/>
    <col min="10500" max="10500" width="20.625" style="1" customWidth="1"/>
    <col min="10501" max="10501" width="17.375" style="1" bestFit="1" customWidth="1"/>
    <col min="10502" max="10502" width="13.125" style="1" bestFit="1" customWidth="1"/>
    <col min="10503" max="10752" width="9" style="1"/>
    <col min="10753" max="10753" width="29.125" style="1" customWidth="1"/>
    <col min="10754" max="10754" width="21.875" style="1" customWidth="1"/>
    <col min="10755" max="10755" width="19.875" style="1" customWidth="1"/>
    <col min="10756" max="10756" width="20.625" style="1" customWidth="1"/>
    <col min="10757" max="10757" width="17.375" style="1" bestFit="1" customWidth="1"/>
    <col min="10758" max="10758" width="13.125" style="1" bestFit="1" customWidth="1"/>
    <col min="10759" max="11008" width="9" style="1"/>
    <col min="11009" max="11009" width="29.125" style="1" customWidth="1"/>
    <col min="11010" max="11010" width="21.875" style="1" customWidth="1"/>
    <col min="11011" max="11011" width="19.875" style="1" customWidth="1"/>
    <col min="11012" max="11012" width="20.625" style="1" customWidth="1"/>
    <col min="11013" max="11013" width="17.375" style="1" bestFit="1" customWidth="1"/>
    <col min="11014" max="11014" width="13.125" style="1" bestFit="1" customWidth="1"/>
    <col min="11015" max="11264" width="9" style="1"/>
    <col min="11265" max="11265" width="29.125" style="1" customWidth="1"/>
    <col min="11266" max="11266" width="21.875" style="1" customWidth="1"/>
    <col min="11267" max="11267" width="19.875" style="1" customWidth="1"/>
    <col min="11268" max="11268" width="20.625" style="1" customWidth="1"/>
    <col min="11269" max="11269" width="17.375" style="1" bestFit="1" customWidth="1"/>
    <col min="11270" max="11270" width="13.125" style="1" bestFit="1" customWidth="1"/>
    <col min="11271" max="11520" width="9" style="1"/>
    <col min="11521" max="11521" width="29.125" style="1" customWidth="1"/>
    <col min="11522" max="11522" width="21.875" style="1" customWidth="1"/>
    <col min="11523" max="11523" width="19.875" style="1" customWidth="1"/>
    <col min="11524" max="11524" width="20.625" style="1" customWidth="1"/>
    <col min="11525" max="11525" width="17.375" style="1" bestFit="1" customWidth="1"/>
    <col min="11526" max="11526" width="13.125" style="1" bestFit="1" customWidth="1"/>
    <col min="11527" max="11776" width="9" style="1"/>
    <col min="11777" max="11777" width="29.125" style="1" customWidth="1"/>
    <col min="11778" max="11778" width="21.875" style="1" customWidth="1"/>
    <col min="11779" max="11779" width="19.875" style="1" customWidth="1"/>
    <col min="11780" max="11780" width="20.625" style="1" customWidth="1"/>
    <col min="11781" max="11781" width="17.375" style="1" bestFit="1" customWidth="1"/>
    <col min="11782" max="11782" width="13.125" style="1" bestFit="1" customWidth="1"/>
    <col min="11783" max="12032" width="9" style="1"/>
    <col min="12033" max="12033" width="29.125" style="1" customWidth="1"/>
    <col min="12034" max="12034" width="21.875" style="1" customWidth="1"/>
    <col min="12035" max="12035" width="19.875" style="1" customWidth="1"/>
    <col min="12036" max="12036" width="20.625" style="1" customWidth="1"/>
    <col min="12037" max="12037" width="17.375" style="1" bestFit="1" customWidth="1"/>
    <col min="12038" max="12038" width="13.125" style="1" bestFit="1" customWidth="1"/>
    <col min="12039" max="12288" width="9" style="1"/>
    <col min="12289" max="12289" width="29.125" style="1" customWidth="1"/>
    <col min="12290" max="12290" width="21.875" style="1" customWidth="1"/>
    <col min="12291" max="12291" width="19.875" style="1" customWidth="1"/>
    <col min="12292" max="12292" width="20.625" style="1" customWidth="1"/>
    <col min="12293" max="12293" width="17.375" style="1" bestFit="1" customWidth="1"/>
    <col min="12294" max="12294" width="13.125" style="1" bestFit="1" customWidth="1"/>
    <col min="12295" max="12544" width="9" style="1"/>
    <col min="12545" max="12545" width="29.125" style="1" customWidth="1"/>
    <col min="12546" max="12546" width="21.875" style="1" customWidth="1"/>
    <col min="12547" max="12547" width="19.875" style="1" customWidth="1"/>
    <col min="12548" max="12548" width="20.625" style="1" customWidth="1"/>
    <col min="12549" max="12549" width="17.375" style="1" bestFit="1" customWidth="1"/>
    <col min="12550" max="12550" width="13.125" style="1" bestFit="1" customWidth="1"/>
    <col min="12551" max="12800" width="9" style="1"/>
    <col min="12801" max="12801" width="29.125" style="1" customWidth="1"/>
    <col min="12802" max="12802" width="21.875" style="1" customWidth="1"/>
    <col min="12803" max="12803" width="19.875" style="1" customWidth="1"/>
    <col min="12804" max="12804" width="20.625" style="1" customWidth="1"/>
    <col min="12805" max="12805" width="17.375" style="1" bestFit="1" customWidth="1"/>
    <col min="12806" max="12806" width="13.125" style="1" bestFit="1" customWidth="1"/>
    <col min="12807" max="13056" width="9" style="1"/>
    <col min="13057" max="13057" width="29.125" style="1" customWidth="1"/>
    <col min="13058" max="13058" width="21.875" style="1" customWidth="1"/>
    <col min="13059" max="13059" width="19.875" style="1" customWidth="1"/>
    <col min="13060" max="13060" width="20.625" style="1" customWidth="1"/>
    <col min="13061" max="13061" width="17.375" style="1" bestFit="1" customWidth="1"/>
    <col min="13062" max="13062" width="13.125" style="1" bestFit="1" customWidth="1"/>
    <col min="13063" max="13312" width="9" style="1"/>
    <col min="13313" max="13313" width="29.125" style="1" customWidth="1"/>
    <col min="13314" max="13314" width="21.875" style="1" customWidth="1"/>
    <col min="13315" max="13315" width="19.875" style="1" customWidth="1"/>
    <col min="13316" max="13316" width="20.625" style="1" customWidth="1"/>
    <col min="13317" max="13317" width="17.375" style="1" bestFit="1" customWidth="1"/>
    <col min="13318" max="13318" width="13.125" style="1" bestFit="1" customWidth="1"/>
    <col min="13319" max="13568" width="9" style="1"/>
    <col min="13569" max="13569" width="29.125" style="1" customWidth="1"/>
    <col min="13570" max="13570" width="21.875" style="1" customWidth="1"/>
    <col min="13571" max="13571" width="19.875" style="1" customWidth="1"/>
    <col min="13572" max="13572" width="20.625" style="1" customWidth="1"/>
    <col min="13573" max="13573" width="17.375" style="1" bestFit="1" customWidth="1"/>
    <col min="13574" max="13574" width="13.125" style="1" bestFit="1" customWidth="1"/>
    <col min="13575" max="13824" width="9" style="1"/>
    <col min="13825" max="13825" width="29.125" style="1" customWidth="1"/>
    <col min="13826" max="13826" width="21.875" style="1" customWidth="1"/>
    <col min="13827" max="13827" width="19.875" style="1" customWidth="1"/>
    <col min="13828" max="13828" width="20.625" style="1" customWidth="1"/>
    <col min="13829" max="13829" width="17.375" style="1" bestFit="1" customWidth="1"/>
    <col min="13830" max="13830" width="13.125" style="1" bestFit="1" customWidth="1"/>
    <col min="13831" max="14080" width="9" style="1"/>
    <col min="14081" max="14081" width="29.125" style="1" customWidth="1"/>
    <col min="14082" max="14082" width="21.875" style="1" customWidth="1"/>
    <col min="14083" max="14083" width="19.875" style="1" customWidth="1"/>
    <col min="14084" max="14084" width="20.625" style="1" customWidth="1"/>
    <col min="14085" max="14085" width="17.375" style="1" bestFit="1" customWidth="1"/>
    <col min="14086" max="14086" width="13.125" style="1" bestFit="1" customWidth="1"/>
    <col min="14087" max="14336" width="9" style="1"/>
    <col min="14337" max="14337" width="29.125" style="1" customWidth="1"/>
    <col min="14338" max="14338" width="21.875" style="1" customWidth="1"/>
    <col min="14339" max="14339" width="19.875" style="1" customWidth="1"/>
    <col min="14340" max="14340" width="20.625" style="1" customWidth="1"/>
    <col min="14341" max="14341" width="17.375" style="1" bestFit="1" customWidth="1"/>
    <col min="14342" max="14342" width="13.125" style="1" bestFit="1" customWidth="1"/>
    <col min="14343" max="14592" width="9" style="1"/>
    <col min="14593" max="14593" width="29.125" style="1" customWidth="1"/>
    <col min="14594" max="14594" width="21.875" style="1" customWidth="1"/>
    <col min="14595" max="14595" width="19.875" style="1" customWidth="1"/>
    <col min="14596" max="14596" width="20.625" style="1" customWidth="1"/>
    <col min="14597" max="14597" width="17.375" style="1" bestFit="1" customWidth="1"/>
    <col min="14598" max="14598" width="13.125" style="1" bestFit="1" customWidth="1"/>
    <col min="14599" max="14848" width="9" style="1"/>
    <col min="14849" max="14849" width="29.125" style="1" customWidth="1"/>
    <col min="14850" max="14850" width="21.875" style="1" customWidth="1"/>
    <col min="14851" max="14851" width="19.875" style="1" customWidth="1"/>
    <col min="14852" max="14852" width="20.625" style="1" customWidth="1"/>
    <col min="14853" max="14853" width="17.375" style="1" bestFit="1" customWidth="1"/>
    <col min="14854" max="14854" width="13.125" style="1" bestFit="1" customWidth="1"/>
    <col min="14855" max="15104" width="9" style="1"/>
    <col min="15105" max="15105" width="29.125" style="1" customWidth="1"/>
    <col min="15106" max="15106" width="21.875" style="1" customWidth="1"/>
    <col min="15107" max="15107" width="19.875" style="1" customWidth="1"/>
    <col min="15108" max="15108" width="20.625" style="1" customWidth="1"/>
    <col min="15109" max="15109" width="17.375" style="1" bestFit="1" customWidth="1"/>
    <col min="15110" max="15110" width="13.125" style="1" bestFit="1" customWidth="1"/>
    <col min="15111" max="15360" width="9" style="1"/>
    <col min="15361" max="15361" width="29.125" style="1" customWidth="1"/>
    <col min="15362" max="15362" width="21.875" style="1" customWidth="1"/>
    <col min="15363" max="15363" width="19.875" style="1" customWidth="1"/>
    <col min="15364" max="15364" width="20.625" style="1" customWidth="1"/>
    <col min="15365" max="15365" width="17.375" style="1" bestFit="1" customWidth="1"/>
    <col min="15366" max="15366" width="13.125" style="1" bestFit="1" customWidth="1"/>
    <col min="15367" max="15616" width="9" style="1"/>
    <col min="15617" max="15617" width="29.125" style="1" customWidth="1"/>
    <col min="15618" max="15618" width="21.875" style="1" customWidth="1"/>
    <col min="15619" max="15619" width="19.875" style="1" customWidth="1"/>
    <col min="15620" max="15620" width="20.625" style="1" customWidth="1"/>
    <col min="15621" max="15621" width="17.375" style="1" bestFit="1" customWidth="1"/>
    <col min="15622" max="15622" width="13.125" style="1" bestFit="1" customWidth="1"/>
    <col min="15623" max="15872" width="9" style="1"/>
    <col min="15873" max="15873" width="29.125" style="1" customWidth="1"/>
    <col min="15874" max="15874" width="21.875" style="1" customWidth="1"/>
    <col min="15875" max="15875" width="19.875" style="1" customWidth="1"/>
    <col min="15876" max="15876" width="20.625" style="1" customWidth="1"/>
    <col min="15877" max="15877" width="17.375" style="1" bestFit="1" customWidth="1"/>
    <col min="15878" max="15878" width="13.125" style="1" bestFit="1" customWidth="1"/>
    <col min="15879" max="16128" width="9" style="1"/>
    <col min="16129" max="16129" width="29.125" style="1" customWidth="1"/>
    <col min="16130" max="16130" width="21.875" style="1" customWidth="1"/>
    <col min="16131" max="16131" width="19.875" style="1" customWidth="1"/>
    <col min="16132" max="16132" width="20.625" style="1" customWidth="1"/>
    <col min="16133" max="16133" width="17.375" style="1" bestFit="1" customWidth="1"/>
    <col min="16134" max="16134" width="13.125" style="1" bestFit="1" customWidth="1"/>
    <col min="16135" max="16384" width="9" style="1"/>
  </cols>
  <sheetData>
    <row r="1" spans="1:5" ht="20.25" customHeight="1" x14ac:dyDescent="0.2"/>
    <row r="2" spans="1:5" ht="30.95" customHeight="1" x14ac:dyDescent="0.2"/>
    <row r="3" spans="1:5" ht="36.950000000000003" customHeight="1" x14ac:dyDescent="0.2">
      <c r="A3" s="2" t="s">
        <v>0</v>
      </c>
      <c r="B3" s="2"/>
      <c r="C3" s="2"/>
      <c r="D3" s="2"/>
      <c r="E3" s="2"/>
    </row>
    <row r="4" spans="1:5" ht="21" customHeight="1" x14ac:dyDescent="0.2">
      <c r="A4" s="3"/>
      <c r="B4" s="4"/>
      <c r="C4" s="5"/>
      <c r="D4" s="4"/>
      <c r="E4" s="3"/>
    </row>
    <row r="5" spans="1:5" s="10" customFormat="1" ht="20.25" x14ac:dyDescent="0.3">
      <c r="A5" s="6" t="s">
        <v>1</v>
      </c>
      <c r="B5" s="7"/>
      <c r="C5" s="8"/>
      <c r="D5" s="7"/>
      <c r="E5" s="9"/>
    </row>
    <row r="6" spans="1:5" s="10" customFormat="1" ht="20.25" x14ac:dyDescent="0.3">
      <c r="A6" s="11"/>
      <c r="B6" s="7"/>
      <c r="C6" s="8"/>
      <c r="D6" s="7"/>
      <c r="E6" s="9"/>
    </row>
    <row r="7" spans="1:5" s="15" customFormat="1" ht="18" x14ac:dyDescent="0.25">
      <c r="A7" s="12" t="s">
        <v>2</v>
      </c>
      <c r="B7" s="13" t="s">
        <v>3</v>
      </c>
      <c r="C7" s="13" t="s">
        <v>4</v>
      </c>
      <c r="D7" s="13" t="s">
        <v>5</v>
      </c>
      <c r="E7" s="14" t="s">
        <v>6</v>
      </c>
    </row>
    <row r="8" spans="1:5" s="10" customFormat="1" ht="20.25" x14ac:dyDescent="0.3">
      <c r="A8" s="12"/>
      <c r="B8" s="13"/>
      <c r="C8" s="13"/>
      <c r="D8" s="13"/>
      <c r="E8" s="14"/>
    </row>
    <row r="9" spans="1:5" ht="18" x14ac:dyDescent="0.25">
      <c r="A9" s="16">
        <f>3500000000+10000000000+3012000000+2000000000</f>
        <v>18512000000</v>
      </c>
      <c r="B9" s="17">
        <v>43795</v>
      </c>
      <c r="C9" s="18">
        <v>13.863</v>
      </c>
      <c r="D9" s="17">
        <v>44891</v>
      </c>
      <c r="E9" s="19" t="s">
        <v>7</v>
      </c>
    </row>
    <row r="10" spans="1:5" ht="18" x14ac:dyDescent="0.25">
      <c r="A10" s="16">
        <f>2250000000+2250000000+2000000000+1750000000+1750000000</f>
        <v>10000000000</v>
      </c>
      <c r="B10" s="17">
        <v>42339</v>
      </c>
      <c r="C10" s="18">
        <v>14.3</v>
      </c>
      <c r="D10" s="17">
        <v>44896</v>
      </c>
      <c r="E10" s="19" t="s">
        <v>8</v>
      </c>
    </row>
    <row r="11" spans="1:5" ht="18" x14ac:dyDescent="0.25">
      <c r="A11" s="16">
        <f>500000000+1000000000+500000000+1000000000+500000000+500000000+500000000+500000000+500000000+1002900000+1500000000+1500000000+1500000000+500000000+1000000000+350000000+1224600000+315000000+4000000000+750000000+1000000000+715852000</f>
        <v>20858352000</v>
      </c>
      <c r="B11" s="17">
        <v>41275</v>
      </c>
      <c r="C11" s="18">
        <v>16.3</v>
      </c>
      <c r="D11" s="17">
        <v>44927</v>
      </c>
      <c r="E11" s="19" t="s">
        <v>8</v>
      </c>
    </row>
    <row r="12" spans="1:5" ht="18" x14ac:dyDescent="0.25">
      <c r="A12" s="16">
        <f>3770000000+1900000000+4584606000</f>
        <v>10254606000</v>
      </c>
      <c r="B12" s="17">
        <v>43472</v>
      </c>
      <c r="C12" s="18">
        <v>13.721</v>
      </c>
      <c r="D12" s="17">
        <v>44933</v>
      </c>
      <c r="E12" s="19" t="s">
        <v>7</v>
      </c>
    </row>
    <row r="13" spans="1:5" ht="18" x14ac:dyDescent="0.25">
      <c r="A13" s="16">
        <v>11648500000</v>
      </c>
      <c r="B13" s="17">
        <v>44215</v>
      </c>
      <c r="C13" s="18">
        <v>13.614000000000001</v>
      </c>
      <c r="D13" s="17">
        <v>44945</v>
      </c>
      <c r="E13" s="19" t="s">
        <v>7</v>
      </c>
    </row>
    <row r="14" spans="1:5" ht="18" x14ac:dyDescent="0.25">
      <c r="A14" s="16">
        <f>80000000000</f>
        <v>80000000000</v>
      </c>
      <c r="B14" s="17">
        <v>43859</v>
      </c>
      <c r="C14" s="18">
        <v>14</v>
      </c>
      <c r="D14" s="17">
        <v>44955</v>
      </c>
      <c r="E14" s="19" t="s">
        <v>7</v>
      </c>
    </row>
    <row r="15" spans="1:5" ht="18" x14ac:dyDescent="0.25">
      <c r="A15" s="16">
        <f>1550000000+1554150000+864700000+808150000+1438400000</f>
        <v>6215400000</v>
      </c>
      <c r="B15" s="17">
        <v>43130</v>
      </c>
      <c r="C15" s="18">
        <v>14.8</v>
      </c>
      <c r="D15" s="17">
        <v>44956</v>
      </c>
      <c r="E15" s="19" t="s">
        <v>8</v>
      </c>
    </row>
    <row r="16" spans="1:5" ht="18" x14ac:dyDescent="0.25">
      <c r="A16" s="16">
        <f>8570485000+20000000000+3750000000+3189425000+5000000000+5000000000</f>
        <v>45509910000</v>
      </c>
      <c r="B16" s="17">
        <v>43865</v>
      </c>
      <c r="C16" s="18">
        <v>13.973000000000001</v>
      </c>
      <c r="D16" s="17">
        <v>44961</v>
      </c>
      <c r="E16" s="19" t="s">
        <v>7</v>
      </c>
    </row>
    <row r="17" spans="1:5" ht="18" x14ac:dyDescent="0.25">
      <c r="A17" s="16">
        <f>1750000000+1750000000+1750000000+1250000000</f>
        <v>6500000000</v>
      </c>
      <c r="B17" s="17">
        <v>42409</v>
      </c>
      <c r="C17" s="18">
        <v>14.8</v>
      </c>
      <c r="D17" s="17">
        <v>44966</v>
      </c>
      <c r="E17" s="19" t="s">
        <v>8</v>
      </c>
    </row>
    <row r="18" spans="1:5" ht="18" x14ac:dyDescent="0.25">
      <c r="A18" s="16">
        <f>16000000000</f>
        <v>16000000000</v>
      </c>
      <c r="B18" s="17">
        <v>43887</v>
      </c>
      <c r="C18" s="18">
        <v>13.9</v>
      </c>
      <c r="D18" s="17">
        <v>44983</v>
      </c>
      <c r="E18" s="19" t="s">
        <v>7</v>
      </c>
    </row>
    <row r="19" spans="1:5" ht="18" x14ac:dyDescent="0.25">
      <c r="A19" s="16">
        <f>4000000000</f>
        <v>4000000000</v>
      </c>
      <c r="B19" s="17">
        <v>43907</v>
      </c>
      <c r="C19" s="18">
        <v>14.765000000000001</v>
      </c>
      <c r="D19" s="17">
        <v>45002</v>
      </c>
      <c r="E19" s="19" t="s">
        <v>7</v>
      </c>
    </row>
    <row r="20" spans="1:5" ht="18" x14ac:dyDescent="0.25">
      <c r="A20" s="16">
        <f>1585305000+6000000000+2500000000+900000000</f>
        <v>10985305000</v>
      </c>
      <c r="B20" s="17">
        <v>43921</v>
      </c>
      <c r="C20" s="18">
        <v>13.901999999999999</v>
      </c>
      <c r="D20" s="17">
        <v>45016</v>
      </c>
      <c r="E20" s="19" t="s">
        <v>7</v>
      </c>
    </row>
    <row r="21" spans="1:5" ht="18" x14ac:dyDescent="0.25">
      <c r="A21" s="16">
        <f>986000000+1867467000+1205000000+1978250000+2600000000+2978250000</f>
        <v>11614967000</v>
      </c>
      <c r="B21" s="17">
        <v>43200</v>
      </c>
      <c r="C21" s="18">
        <v>14.85</v>
      </c>
      <c r="D21" s="17">
        <v>45026</v>
      </c>
      <c r="E21" s="19" t="s">
        <v>8</v>
      </c>
    </row>
    <row r="22" spans="1:5" ht="18" x14ac:dyDescent="0.25">
      <c r="A22" s="16">
        <f>3750000000+351030000+4000000000+3750000000+2000000000+5075660000</f>
        <v>18926690000</v>
      </c>
      <c r="B22" s="17">
        <v>43935</v>
      </c>
      <c r="C22" s="18">
        <v>13.08</v>
      </c>
      <c r="D22" s="17">
        <v>45030</v>
      </c>
      <c r="E22" s="19" t="s">
        <v>7</v>
      </c>
    </row>
    <row r="23" spans="1:5" ht="18" x14ac:dyDescent="0.25">
      <c r="A23" s="16">
        <f>1337800000+3672150000+5000000000</f>
        <v>10009950000</v>
      </c>
      <c r="B23" s="17">
        <v>44307</v>
      </c>
      <c r="C23" s="18">
        <v>13.759</v>
      </c>
      <c r="D23" s="17">
        <v>45036</v>
      </c>
      <c r="E23" s="19" t="s">
        <v>7</v>
      </c>
    </row>
    <row r="24" spans="1:5" ht="18" x14ac:dyDescent="0.25">
      <c r="A24" s="16">
        <f>5000000000</f>
        <v>5000000000</v>
      </c>
      <c r="B24" s="17">
        <v>43949</v>
      </c>
      <c r="C24" s="18">
        <v>13.398999999999999</v>
      </c>
      <c r="D24" s="17">
        <v>45044</v>
      </c>
      <c r="E24" s="19" t="s">
        <v>7</v>
      </c>
    </row>
    <row r="25" spans="1:5" ht="18" x14ac:dyDescent="0.25">
      <c r="A25" s="16">
        <v>5000000000</v>
      </c>
      <c r="B25" s="17">
        <v>43956</v>
      </c>
      <c r="C25" s="18">
        <v>13.398999999999999</v>
      </c>
      <c r="D25" s="17">
        <v>45051</v>
      </c>
      <c r="E25" s="19" t="s">
        <v>7</v>
      </c>
    </row>
    <row r="26" spans="1:5" ht="18" x14ac:dyDescent="0.25">
      <c r="A26" s="16">
        <v>3375000000</v>
      </c>
      <c r="B26" s="17">
        <v>43970</v>
      </c>
      <c r="C26" s="18">
        <v>13.375999999999999</v>
      </c>
      <c r="D26" s="17">
        <v>45065</v>
      </c>
      <c r="E26" s="19" t="s">
        <v>7</v>
      </c>
    </row>
    <row r="27" spans="1:5" ht="18" x14ac:dyDescent="0.25">
      <c r="A27" s="16">
        <v>1684246000</v>
      </c>
      <c r="B27" s="17">
        <v>43977</v>
      </c>
      <c r="C27" s="18">
        <v>13.458</v>
      </c>
      <c r="D27" s="17">
        <v>45072</v>
      </c>
      <c r="E27" s="19" t="s">
        <v>7</v>
      </c>
    </row>
    <row r="28" spans="1:5" ht="18" x14ac:dyDescent="0.25">
      <c r="A28" s="16">
        <f>2662920000+1000000000+402835000</f>
        <v>4065755000</v>
      </c>
      <c r="B28" s="17">
        <v>43991</v>
      </c>
      <c r="C28" s="18">
        <v>13.513999999999999</v>
      </c>
      <c r="D28" s="17">
        <v>45086</v>
      </c>
      <c r="E28" s="19" t="s">
        <v>7</v>
      </c>
    </row>
    <row r="29" spans="1:5" ht="18" x14ac:dyDescent="0.25">
      <c r="A29" s="16">
        <f>5000000000</f>
        <v>5000000000</v>
      </c>
      <c r="B29" s="17">
        <v>44005</v>
      </c>
      <c r="C29" s="18">
        <v>13.882999999999999</v>
      </c>
      <c r="D29" s="17">
        <v>45100</v>
      </c>
      <c r="E29" s="19" t="s">
        <v>7</v>
      </c>
    </row>
    <row r="30" spans="1:5" ht="18" x14ac:dyDescent="0.25">
      <c r="A30" s="16">
        <f>920000000+3638800000+1970080000+500000000+1274630000+1000000000+2021800000+3500000000</f>
        <v>14825310000</v>
      </c>
      <c r="B30" s="17">
        <v>43284</v>
      </c>
      <c r="C30" s="18">
        <v>17.649999999999999</v>
      </c>
      <c r="D30" s="17">
        <v>45110</v>
      </c>
      <c r="E30" s="19" t="s">
        <v>7</v>
      </c>
    </row>
    <row r="31" spans="1:5" ht="18" x14ac:dyDescent="0.25">
      <c r="A31" s="16">
        <f>2880000000+5003750000</f>
        <v>7883750000</v>
      </c>
      <c r="B31" s="17">
        <v>44383</v>
      </c>
      <c r="C31" s="18">
        <v>13.725</v>
      </c>
      <c r="D31" s="17">
        <v>45113</v>
      </c>
      <c r="E31" s="19" t="s">
        <v>7</v>
      </c>
    </row>
    <row r="32" spans="1:5" ht="18" x14ac:dyDescent="0.25">
      <c r="A32" s="16">
        <f>1020000000+4500000000+1000000000+1541600000+4500000000+6043990000+2350000000+8200000000+6654050000+4000000000</f>
        <v>39809640000</v>
      </c>
      <c r="B32" s="17">
        <v>44019</v>
      </c>
      <c r="C32" s="18">
        <v>14.196</v>
      </c>
      <c r="D32" s="17">
        <v>45114</v>
      </c>
      <c r="E32" s="19" t="s">
        <v>7</v>
      </c>
    </row>
    <row r="33" spans="1:5" ht="18" x14ac:dyDescent="0.25">
      <c r="A33" s="16">
        <f>16880000000+15002500000</f>
        <v>31882500000</v>
      </c>
      <c r="B33" s="17">
        <v>44411</v>
      </c>
      <c r="C33" s="18">
        <v>13.727</v>
      </c>
      <c r="D33" s="17">
        <v>45141</v>
      </c>
      <c r="E33" s="19" t="s">
        <v>7</v>
      </c>
    </row>
    <row r="34" spans="1:5" ht="18" x14ac:dyDescent="0.25">
      <c r="A34" s="16">
        <f>750000000+1000000000+500000000+560060000+500000000+451036000+558200000+500000000+250000000+250000000+418011000+350000000+350000000+350000000+350000000+500000000+350000000+512500000+1002455000+1350100000+1423080000+1500000000</f>
        <v>13775442000</v>
      </c>
      <c r="B34" s="17">
        <v>42591</v>
      </c>
      <c r="C34" s="18">
        <v>17.2</v>
      </c>
      <c r="D34" s="17">
        <v>45147</v>
      </c>
      <c r="E34" s="19" t="s">
        <v>8</v>
      </c>
    </row>
    <row r="35" spans="1:5" ht="18" x14ac:dyDescent="0.25">
      <c r="A35" s="16">
        <f>30000000000</f>
        <v>30000000000</v>
      </c>
      <c r="B35" s="17">
        <v>44075</v>
      </c>
      <c r="C35" s="18">
        <v>15.75</v>
      </c>
      <c r="D35" s="17">
        <v>45170</v>
      </c>
      <c r="E35" s="19" t="s">
        <v>7</v>
      </c>
    </row>
    <row r="36" spans="1:5" ht="18" x14ac:dyDescent="0.25">
      <c r="A36" s="16">
        <f>1500000000+1500000000</f>
        <v>3000000000</v>
      </c>
      <c r="B36" s="17">
        <v>41520</v>
      </c>
      <c r="C36" s="18">
        <v>15.96</v>
      </c>
      <c r="D36" s="17">
        <v>45172</v>
      </c>
      <c r="E36" s="19" t="s">
        <v>9</v>
      </c>
    </row>
    <row r="37" spans="1:5" ht="18" x14ac:dyDescent="0.25">
      <c r="A37" s="16">
        <f>19190000000+15756800000</f>
        <v>34946800000</v>
      </c>
      <c r="B37" s="17">
        <v>44446</v>
      </c>
      <c r="C37" s="18">
        <v>13.659000000000001</v>
      </c>
      <c r="D37" s="17">
        <v>45176</v>
      </c>
      <c r="E37" s="19" t="s">
        <v>7</v>
      </c>
    </row>
    <row r="38" spans="1:5" ht="18" x14ac:dyDescent="0.25">
      <c r="A38" s="16">
        <f>70000000000</f>
        <v>70000000000</v>
      </c>
      <c r="B38" s="17">
        <v>44082</v>
      </c>
      <c r="C38" s="18">
        <v>15.75</v>
      </c>
      <c r="D38" s="17">
        <v>45177</v>
      </c>
      <c r="E38" s="19" t="s">
        <v>7</v>
      </c>
    </row>
    <row r="39" spans="1:5" ht="18" x14ac:dyDescent="0.25">
      <c r="A39" s="16">
        <f>459500000+4737000000</f>
        <v>5196500000</v>
      </c>
      <c r="B39" s="17">
        <v>44474</v>
      </c>
      <c r="C39" s="18">
        <v>13.696</v>
      </c>
      <c r="D39" s="17">
        <v>45204</v>
      </c>
      <c r="E39" s="19" t="s">
        <v>7</v>
      </c>
    </row>
    <row r="40" spans="1:5" ht="18" x14ac:dyDescent="0.25">
      <c r="A40" s="16">
        <f>750000000+1314000000+750000000+204000000+1000000000+710116000+750000000+1080100000+1160000000+300000000+750000000+1920000000+275599000+2628000000+1305200000</f>
        <v>14897015000</v>
      </c>
      <c r="B40" s="17">
        <v>43382</v>
      </c>
      <c r="C40" s="18">
        <v>18.350000000000001</v>
      </c>
      <c r="D40" s="17">
        <v>45208</v>
      </c>
      <c r="E40" s="19" t="s">
        <v>7</v>
      </c>
    </row>
    <row r="41" spans="1:5" ht="18" x14ac:dyDescent="0.25">
      <c r="A41" s="16">
        <f>5323800000+11934744000+9695080000+14778600000+4824000000+8671465000</f>
        <v>55227689000</v>
      </c>
      <c r="B41" s="17">
        <v>44117</v>
      </c>
      <c r="C41" s="18">
        <v>14.313000000000001</v>
      </c>
      <c r="D41" s="17">
        <v>45212</v>
      </c>
      <c r="E41" s="19" t="s">
        <v>7</v>
      </c>
    </row>
    <row r="42" spans="1:5" ht="18" x14ac:dyDescent="0.25">
      <c r="A42" s="16">
        <f>2000000000</f>
        <v>2000000000</v>
      </c>
      <c r="B42" s="17">
        <v>44500</v>
      </c>
      <c r="C42" s="18">
        <v>13.743</v>
      </c>
      <c r="D42" s="17">
        <v>45230</v>
      </c>
      <c r="E42" s="19" t="s">
        <v>7</v>
      </c>
    </row>
    <row r="43" spans="1:5" ht="18" x14ac:dyDescent="0.25">
      <c r="A43" s="16">
        <f>203000000+14203000000+802000000</f>
        <v>15208000000</v>
      </c>
      <c r="B43" s="17">
        <v>44502</v>
      </c>
      <c r="C43" s="18">
        <v>13.784000000000001</v>
      </c>
      <c r="D43" s="17">
        <v>45232</v>
      </c>
      <c r="E43" s="19" t="s">
        <v>7</v>
      </c>
    </row>
    <row r="44" spans="1:5" ht="18" x14ac:dyDescent="0.25">
      <c r="A44" s="16">
        <f>1500000000+1500000000+978100000+1500000000+1500000000+2000000000+2000000000+1195130000+5000000000</f>
        <v>17173230000</v>
      </c>
      <c r="B44" s="17">
        <v>41555</v>
      </c>
      <c r="C44" s="18">
        <v>14</v>
      </c>
      <c r="D44" s="17">
        <v>45238</v>
      </c>
      <c r="E44" s="19" t="s">
        <v>9</v>
      </c>
    </row>
    <row r="45" spans="1:5" ht="18" x14ac:dyDescent="0.25">
      <c r="A45" s="16">
        <f>3920000000+1030000000</f>
        <v>4950000000</v>
      </c>
      <c r="B45" s="17">
        <v>44544</v>
      </c>
      <c r="C45" s="18">
        <v>13.847</v>
      </c>
      <c r="D45" s="17">
        <v>45274</v>
      </c>
      <c r="E45" s="19" t="s">
        <v>7</v>
      </c>
    </row>
    <row r="46" spans="1:5" ht="18" x14ac:dyDescent="0.25">
      <c r="A46" s="16">
        <f>2000000000</f>
        <v>2000000000</v>
      </c>
      <c r="B46" s="17">
        <v>44194</v>
      </c>
      <c r="C46" s="18">
        <v>13.63</v>
      </c>
      <c r="D46" s="17">
        <v>45289</v>
      </c>
      <c r="E46" s="19" t="s">
        <v>7</v>
      </c>
    </row>
    <row r="47" spans="1:5" ht="18" x14ac:dyDescent="0.25">
      <c r="A47" s="16">
        <v>54173420000</v>
      </c>
      <c r="B47" s="17">
        <v>44201</v>
      </c>
      <c r="C47" s="18">
        <v>13.765000000000001</v>
      </c>
      <c r="D47" s="17">
        <v>45296</v>
      </c>
      <c r="E47" s="19" t="s">
        <v>7</v>
      </c>
    </row>
    <row r="48" spans="1:5" ht="18" x14ac:dyDescent="0.25">
      <c r="A48" s="16">
        <f>460000000+553277000+352750000+50000000+10000000</f>
        <v>1426027000</v>
      </c>
      <c r="B48" s="17">
        <v>44572</v>
      </c>
      <c r="C48" s="18">
        <v>13.797000000000001</v>
      </c>
      <c r="D48" s="17">
        <v>45302</v>
      </c>
      <c r="E48" s="19" t="s">
        <v>7</v>
      </c>
    </row>
    <row r="49" spans="1:5" ht="18" x14ac:dyDescent="0.25">
      <c r="A49" s="16">
        <f>2000000000+2000000000+1000000000+1000000000+1036700000+2000000000</f>
        <v>9036700000</v>
      </c>
      <c r="B49" s="17">
        <v>41681</v>
      </c>
      <c r="C49" s="18">
        <v>14.9</v>
      </c>
      <c r="D49" s="17">
        <v>45333</v>
      </c>
      <c r="E49" s="19" t="s">
        <v>8</v>
      </c>
    </row>
    <row r="50" spans="1:5" ht="18" x14ac:dyDescent="0.25">
      <c r="A50" s="16">
        <f>5000000000</f>
        <v>5000000000</v>
      </c>
      <c r="B50" s="17">
        <v>44255</v>
      </c>
      <c r="C50" s="18">
        <v>14.013999999999999</v>
      </c>
      <c r="D50" s="17">
        <v>45350</v>
      </c>
      <c r="E50" s="19" t="s">
        <v>7</v>
      </c>
    </row>
    <row r="51" spans="1:5" ht="18" x14ac:dyDescent="0.25">
      <c r="A51" s="16">
        <f>389366000+3200600000+1000000000+1315650000+985000000+2203100000</f>
        <v>9093716000</v>
      </c>
      <c r="B51" s="17">
        <v>43564</v>
      </c>
      <c r="C51" s="18">
        <v>16.3</v>
      </c>
      <c r="D51" s="17">
        <v>45391</v>
      </c>
      <c r="E51" s="19" t="s">
        <v>7</v>
      </c>
    </row>
    <row r="52" spans="1:5" ht="18" x14ac:dyDescent="0.25">
      <c r="A52" s="16">
        <f>9941135000+6542460000+7362645000+4181265000+7073405000+8750985000</f>
        <v>43851895000</v>
      </c>
      <c r="B52" s="17">
        <v>44299</v>
      </c>
      <c r="C52" s="18">
        <v>14.2</v>
      </c>
      <c r="D52" s="17">
        <v>45395</v>
      </c>
      <c r="E52" s="19" t="s">
        <v>7</v>
      </c>
    </row>
    <row r="53" spans="1:5" ht="18" x14ac:dyDescent="0.25">
      <c r="A53" s="16">
        <f>491000000+940900000+745050000+750000000+750000000+750000000</f>
        <v>4426950000</v>
      </c>
      <c r="B53" s="17">
        <v>42885</v>
      </c>
      <c r="C53" s="18">
        <v>18.399999999999999</v>
      </c>
      <c r="D53" s="17">
        <v>45442</v>
      </c>
      <c r="E53" s="19" t="s">
        <v>8</v>
      </c>
    </row>
    <row r="54" spans="1:5" ht="18" x14ac:dyDescent="0.25">
      <c r="A54" s="16">
        <f>1405750000+500000000+2000000000+1500000000+500000000+1000000000+1000000000+3000000000+1750000000+1750000000+1750000000</f>
        <v>16155750000</v>
      </c>
      <c r="B54" s="17">
        <v>41793</v>
      </c>
      <c r="C54" s="18">
        <v>15.55</v>
      </c>
      <c r="D54" s="17">
        <v>45446</v>
      </c>
      <c r="E54" s="19" t="s">
        <v>8</v>
      </c>
    </row>
    <row r="55" spans="1:5" ht="18" x14ac:dyDescent="0.25">
      <c r="A55" s="16">
        <f>40000000000</f>
        <v>40000000000</v>
      </c>
      <c r="B55" s="17">
        <v>44376</v>
      </c>
      <c r="C55" s="18">
        <v>15.25</v>
      </c>
      <c r="D55" s="17">
        <v>45474</v>
      </c>
      <c r="E55" s="19" t="s">
        <v>7</v>
      </c>
    </row>
    <row r="56" spans="1:5" ht="18" x14ac:dyDescent="0.25">
      <c r="A56" s="16">
        <f>1707600000+400000000+5814000000+1000000000+1500000000+500000000+6604550000+6000000000+2000000000+1197000000+9000000000+5000000000+2000000000+1250000000</f>
        <v>43973150000</v>
      </c>
      <c r="B56" s="17">
        <v>43648</v>
      </c>
      <c r="C56" s="18">
        <v>15.9</v>
      </c>
      <c r="D56" s="17">
        <v>45475</v>
      </c>
      <c r="E56" s="19" t="s">
        <v>7</v>
      </c>
    </row>
    <row r="57" spans="1:5" ht="18" x14ac:dyDescent="0.25">
      <c r="A57" s="16">
        <f>8566890000+4067569000</f>
        <v>12634459000</v>
      </c>
      <c r="B57" s="17">
        <v>44390</v>
      </c>
      <c r="C57" s="18">
        <v>14.430999999999999</v>
      </c>
      <c r="D57" s="17">
        <v>45486</v>
      </c>
      <c r="E57" s="19" t="s">
        <v>7</v>
      </c>
    </row>
    <row r="58" spans="1:5" ht="18" x14ac:dyDescent="0.25">
      <c r="A58" s="16">
        <f>6035600000+26667495000</f>
        <v>32703095000</v>
      </c>
      <c r="B58" s="17">
        <v>44418</v>
      </c>
      <c r="C58" s="18">
        <v>14.494</v>
      </c>
      <c r="D58" s="17">
        <v>45514</v>
      </c>
      <c r="E58" s="19" t="s">
        <v>7</v>
      </c>
    </row>
    <row r="59" spans="1:5" ht="18" x14ac:dyDescent="0.25">
      <c r="A59" s="16">
        <f>126740000000</f>
        <v>126740000000</v>
      </c>
      <c r="B59" s="17">
        <v>44439</v>
      </c>
      <c r="C59" s="18">
        <v>15.25</v>
      </c>
      <c r="D59" s="17">
        <v>45535</v>
      </c>
      <c r="E59" s="19" t="s">
        <v>7</v>
      </c>
    </row>
    <row r="60" spans="1:5" ht="18" x14ac:dyDescent="0.25">
      <c r="A60" s="16">
        <f>818945000+1488619000+1000000000+1039690000+800000000</f>
        <v>5147254000</v>
      </c>
      <c r="B60" s="17">
        <v>41891</v>
      </c>
      <c r="C60" s="18">
        <v>15.9</v>
      </c>
      <c r="D60" s="17">
        <v>45544</v>
      </c>
      <c r="E60" s="19" t="s">
        <v>8</v>
      </c>
    </row>
    <row r="61" spans="1:5" ht="18" x14ac:dyDescent="0.25">
      <c r="A61" s="16">
        <f>5338000000+830000000+2000000000+3527265000+500000000+2000000000+600000000+500000000+5134367000+5000000000+2490000000+4213720000</f>
        <v>32133352000</v>
      </c>
      <c r="B61" s="17">
        <v>43718</v>
      </c>
      <c r="C61" s="18">
        <v>14.35</v>
      </c>
      <c r="D61" s="17">
        <v>45545</v>
      </c>
      <c r="E61" s="19" t="s">
        <v>7</v>
      </c>
    </row>
    <row r="62" spans="1:5" ht="18" x14ac:dyDescent="0.25">
      <c r="A62" s="16">
        <f>27415740000+10562850000</f>
        <v>37978590000</v>
      </c>
      <c r="B62" s="17">
        <v>44453</v>
      </c>
      <c r="C62" s="18">
        <v>14.531000000000001</v>
      </c>
      <c r="D62" s="17">
        <v>45549</v>
      </c>
      <c r="E62" s="19" t="s">
        <v>7</v>
      </c>
    </row>
    <row r="63" spans="1:5" ht="18" x14ac:dyDescent="0.25">
      <c r="A63" s="16">
        <f>3891775000+15589000000</f>
        <v>19480775000</v>
      </c>
      <c r="B63" s="17">
        <v>44481</v>
      </c>
      <c r="C63" s="18">
        <v>14.574</v>
      </c>
      <c r="D63" s="17">
        <v>45577</v>
      </c>
      <c r="E63" s="19" t="s">
        <v>7</v>
      </c>
    </row>
    <row r="64" spans="1:5" ht="18" x14ac:dyDescent="0.25">
      <c r="A64" s="16">
        <f>5000000000</f>
        <v>5000000000</v>
      </c>
      <c r="B64" s="17">
        <v>43760</v>
      </c>
      <c r="C64" s="18">
        <v>14.339</v>
      </c>
      <c r="D64" s="17">
        <v>45587</v>
      </c>
      <c r="E64" s="19" t="s">
        <v>7</v>
      </c>
    </row>
    <row r="65" spans="1:6" ht="18" x14ac:dyDescent="0.25">
      <c r="A65" s="16">
        <f>24588700000+3490395000</f>
        <v>28079095000</v>
      </c>
      <c r="B65" s="17">
        <v>44509</v>
      </c>
      <c r="C65" s="18">
        <v>14.641</v>
      </c>
      <c r="D65" s="17">
        <v>45605</v>
      </c>
      <c r="E65" s="19" t="s">
        <v>7</v>
      </c>
    </row>
    <row r="66" spans="1:6" ht="18" x14ac:dyDescent="0.25">
      <c r="A66" s="16">
        <f>326000000+693587000+100000000+2440000000+2000000000</f>
        <v>5559587000</v>
      </c>
      <c r="B66" s="17">
        <v>43788</v>
      </c>
      <c r="C66" s="18">
        <v>13.837</v>
      </c>
      <c r="D66" s="17">
        <v>45615</v>
      </c>
      <c r="E66" s="19" t="s">
        <v>7</v>
      </c>
    </row>
    <row r="67" spans="1:6" ht="18" x14ac:dyDescent="0.25">
      <c r="A67" s="16">
        <f>9500000000+10000000000</f>
        <v>19500000000</v>
      </c>
      <c r="B67" s="17">
        <v>44537</v>
      </c>
      <c r="C67" s="18">
        <v>14.646000000000001</v>
      </c>
      <c r="D67" s="17">
        <v>45633</v>
      </c>
      <c r="E67" s="19" t="s">
        <v>7</v>
      </c>
    </row>
    <row r="68" spans="1:6" ht="18" x14ac:dyDescent="0.25">
      <c r="A68" s="16">
        <f>1000000000+1000000000+1500000000+1500000000+1250000000+1000000000+1000000000+1123740000+1500000000+1056960000+1000000000+1702750000</f>
        <v>14633450000</v>
      </c>
      <c r="B68" s="17">
        <v>41982</v>
      </c>
      <c r="C68" s="18">
        <v>15.25</v>
      </c>
      <c r="D68" s="17">
        <v>45635</v>
      </c>
      <c r="E68" s="19" t="s">
        <v>8</v>
      </c>
    </row>
    <row r="69" spans="1:6" ht="18" x14ac:dyDescent="0.25">
      <c r="A69" s="16">
        <f>4914005000+10340045000+4726555000+5483065000+930000000+20450000+5000000</f>
        <v>26419120000</v>
      </c>
      <c r="B69" s="17">
        <v>44565</v>
      </c>
      <c r="C69" s="18">
        <v>14.522</v>
      </c>
      <c r="D69" s="17">
        <v>45661</v>
      </c>
      <c r="E69" s="19" t="s">
        <v>7</v>
      </c>
    </row>
    <row r="70" spans="1:6" ht="18" x14ac:dyDescent="0.25">
      <c r="A70" s="16">
        <f>4037700000+1350000000+4951875000+2286450000+3191439000+2201260000+8000000000</f>
        <v>26018724000</v>
      </c>
      <c r="B70" s="17">
        <v>43844</v>
      </c>
      <c r="C70" s="18">
        <v>13.536</v>
      </c>
      <c r="D70" s="17">
        <v>45671</v>
      </c>
      <c r="E70" s="19" t="s">
        <v>7</v>
      </c>
    </row>
    <row r="71" spans="1:6" ht="18" x14ac:dyDescent="0.25">
      <c r="A71" s="16">
        <v>1000000000</v>
      </c>
      <c r="B71" s="17">
        <v>38370</v>
      </c>
      <c r="C71" s="18">
        <v>11.4</v>
      </c>
      <c r="D71" s="17">
        <v>45675</v>
      </c>
      <c r="E71" s="19" t="s">
        <v>10</v>
      </c>
    </row>
    <row r="72" spans="1:6" ht="18" x14ac:dyDescent="0.25">
      <c r="A72" s="16">
        <f>1500000000+1500000000+1500000000+1500000000+1500000000+1500000000+1750000000+1750000000+2000000000+2000000000</f>
        <v>16500000000</v>
      </c>
      <c r="B72" s="17">
        <v>42038</v>
      </c>
      <c r="C72" s="18">
        <v>14.15</v>
      </c>
      <c r="D72" s="17">
        <v>45691</v>
      </c>
      <c r="E72" s="19" t="s">
        <v>8</v>
      </c>
    </row>
    <row r="73" spans="1:6" ht="18" x14ac:dyDescent="0.25">
      <c r="A73" s="16">
        <f>1000000000+1250000000+261700000+686500000+404750000+2000000000</f>
        <v>5602950000</v>
      </c>
      <c r="B73" s="17">
        <v>43151</v>
      </c>
      <c r="C73" s="18">
        <v>14.5</v>
      </c>
      <c r="D73" s="17">
        <v>45708</v>
      </c>
      <c r="E73" s="19" t="s">
        <v>8</v>
      </c>
    </row>
    <row r="74" spans="1:6" ht="18" x14ac:dyDescent="0.25">
      <c r="A74" s="16">
        <f>4000000000+3500000000+3000000000</f>
        <v>10500000000</v>
      </c>
      <c r="B74" s="17">
        <v>43914</v>
      </c>
      <c r="C74" s="18">
        <v>13.939</v>
      </c>
      <c r="D74" s="17">
        <v>45740</v>
      </c>
      <c r="E74" s="19" t="s">
        <v>7</v>
      </c>
    </row>
    <row r="75" spans="1:6" ht="18" x14ac:dyDescent="0.25">
      <c r="A75" s="16">
        <f>684000000+301600000+30000000+24000000+55000000+7036000000</f>
        <v>8130600000</v>
      </c>
      <c r="B75" s="17">
        <v>44663</v>
      </c>
      <c r="C75" s="18">
        <v>14.686999999999999</v>
      </c>
      <c r="D75" s="17">
        <v>45759</v>
      </c>
      <c r="E75" s="19" t="s">
        <v>7</v>
      </c>
    </row>
    <row r="76" spans="1:6" ht="18" x14ac:dyDescent="0.25">
      <c r="A76" s="16">
        <f>1395090000+3500000000+2554391000+205535000+13340000</f>
        <v>7668356000</v>
      </c>
      <c r="B76" s="17">
        <v>43942</v>
      </c>
      <c r="C76" s="18">
        <v>13.298</v>
      </c>
      <c r="D76" s="17">
        <v>45768</v>
      </c>
      <c r="E76" s="19" t="s">
        <v>7</v>
      </c>
    </row>
    <row r="77" spans="1:6" ht="18" x14ac:dyDescent="0.25">
      <c r="A77" s="16">
        <f>5000000000</f>
        <v>5000000000</v>
      </c>
      <c r="B77" s="17">
        <v>43949</v>
      </c>
      <c r="C77" s="18">
        <v>13.298</v>
      </c>
      <c r="D77" s="17">
        <v>45775</v>
      </c>
      <c r="E77" s="19" t="s">
        <v>7</v>
      </c>
    </row>
    <row r="78" spans="1:6" ht="18" x14ac:dyDescent="0.25">
      <c r="A78" s="16">
        <f>5000000000</f>
        <v>5000000000</v>
      </c>
      <c r="B78" s="17">
        <v>43956</v>
      </c>
      <c r="C78" s="18">
        <v>13.545999999999999</v>
      </c>
      <c r="D78" s="17">
        <v>45782</v>
      </c>
      <c r="E78" s="19" t="s">
        <v>7</v>
      </c>
    </row>
    <row r="79" spans="1:6" ht="18" x14ac:dyDescent="0.25">
      <c r="A79" s="16">
        <f>1750000000+1750000000+1250000000+1250000000+1750000000+1750000000+1750000000+1750000000+2250000000+2250000000</f>
        <v>17500000000</v>
      </c>
      <c r="B79" s="17">
        <v>42136</v>
      </c>
      <c r="C79" s="18">
        <v>14.4</v>
      </c>
      <c r="D79" s="17">
        <v>45789</v>
      </c>
      <c r="E79" s="19" t="s">
        <v>8</v>
      </c>
      <c r="F79" s="20"/>
    </row>
    <row r="80" spans="1:6" ht="18" x14ac:dyDescent="0.25">
      <c r="A80" s="16">
        <f>5000000000</f>
        <v>5000000000</v>
      </c>
      <c r="B80" s="17">
        <v>43970</v>
      </c>
      <c r="C80" s="18">
        <v>13.497</v>
      </c>
      <c r="D80" s="17">
        <v>45796</v>
      </c>
      <c r="E80" s="19" t="s">
        <v>7</v>
      </c>
      <c r="F80" s="20"/>
    </row>
    <row r="81" spans="1:6" ht="18" x14ac:dyDescent="0.25">
      <c r="A81" s="16">
        <f>567000000+9000000</f>
        <v>576000000</v>
      </c>
      <c r="B81" s="17">
        <v>43998</v>
      </c>
      <c r="C81" s="18">
        <v>13.727</v>
      </c>
      <c r="D81" s="17">
        <v>45824</v>
      </c>
      <c r="E81" s="19" t="s">
        <v>7</v>
      </c>
      <c r="F81" s="20"/>
    </row>
    <row r="82" spans="1:6" ht="18" x14ac:dyDescent="0.25">
      <c r="A82" s="16">
        <v>7000000000</v>
      </c>
      <c r="B82" s="17">
        <v>44740</v>
      </c>
      <c r="C82" s="18">
        <v>14.68</v>
      </c>
      <c r="D82" s="17">
        <v>45836</v>
      </c>
      <c r="E82" s="19" t="s">
        <v>7</v>
      </c>
      <c r="F82" s="20"/>
    </row>
    <row r="83" spans="1:6" ht="18" x14ac:dyDescent="0.25">
      <c r="A83" s="16">
        <v>23325350000</v>
      </c>
      <c r="B83" s="17">
        <v>44747</v>
      </c>
      <c r="C83" s="18">
        <v>14.68</v>
      </c>
      <c r="D83" s="17">
        <v>45843</v>
      </c>
      <c r="E83" s="19" t="s">
        <v>7</v>
      </c>
      <c r="F83" s="20"/>
    </row>
    <row r="84" spans="1:6" ht="18" x14ac:dyDescent="0.25">
      <c r="A84" s="16">
        <f>3500000000+250000000+2004835000+1658000000+1437500000+1000000000</f>
        <v>9850335000</v>
      </c>
      <c r="B84" s="17">
        <v>44026</v>
      </c>
      <c r="C84" s="18">
        <v>14.349</v>
      </c>
      <c r="D84" s="17">
        <v>45852</v>
      </c>
      <c r="E84" s="19" t="s">
        <v>7</v>
      </c>
      <c r="F84" s="20"/>
    </row>
    <row r="85" spans="1:6" ht="18" x14ac:dyDescent="0.25">
      <c r="A85" s="16">
        <f>1500000000+1884400000+153800000+500000000+1255250000+1000700000+1448000000+1000000+10000000+430400000+750000000+2937099000+955408000+902190000+1000588000+235000000+400000000</f>
        <v>15363835000</v>
      </c>
      <c r="B85" s="17">
        <v>43319</v>
      </c>
      <c r="C85" s="18">
        <v>17.7</v>
      </c>
      <c r="D85" s="17">
        <v>45876</v>
      </c>
      <c r="E85" s="19" t="s">
        <v>7</v>
      </c>
      <c r="F85" s="20"/>
    </row>
    <row r="86" spans="1:6" ht="18" x14ac:dyDescent="0.25">
      <c r="A86" s="16">
        <v>50000000000</v>
      </c>
      <c r="B86" s="17">
        <v>44796</v>
      </c>
      <c r="C86" s="18">
        <v>17.5</v>
      </c>
      <c r="D86" s="17">
        <v>45892</v>
      </c>
      <c r="E86" s="19" t="s">
        <v>7</v>
      </c>
      <c r="F86" s="20"/>
    </row>
    <row r="87" spans="1:6" ht="18" x14ac:dyDescent="0.25">
      <c r="A87" s="16">
        <v>30000000000</v>
      </c>
      <c r="B87" s="17">
        <v>44803</v>
      </c>
      <c r="C87" s="18">
        <v>17.5</v>
      </c>
      <c r="D87" s="17">
        <v>45899</v>
      </c>
      <c r="E87" s="19" t="s">
        <v>7</v>
      </c>
      <c r="F87" s="20"/>
    </row>
    <row r="88" spans="1:6" ht="18" x14ac:dyDescent="0.25">
      <c r="A88" s="16">
        <f>12060650000+4800000000+4822925000+10000000+1793600000</f>
        <v>23487175000</v>
      </c>
      <c r="B88" s="17">
        <v>44810</v>
      </c>
      <c r="C88" s="18">
        <v>17.498000000000001</v>
      </c>
      <c r="D88" s="17">
        <v>45906</v>
      </c>
      <c r="E88" s="19" t="s">
        <v>7</v>
      </c>
      <c r="F88" s="20"/>
    </row>
    <row r="89" spans="1:6" ht="18" x14ac:dyDescent="0.25">
      <c r="A89" s="16">
        <f>14797950000+900000000+500000000</f>
        <v>16197950000</v>
      </c>
      <c r="B89" s="17">
        <v>44082</v>
      </c>
      <c r="C89" s="18">
        <v>14.605</v>
      </c>
      <c r="D89" s="17">
        <v>45908</v>
      </c>
      <c r="E89" s="19" t="s">
        <v>7</v>
      </c>
      <c r="F89" s="20"/>
    </row>
    <row r="90" spans="1:6" ht="18" x14ac:dyDescent="0.25">
      <c r="A90" s="16">
        <f>15712600000</f>
        <v>15712600000</v>
      </c>
      <c r="B90" s="17">
        <v>44096</v>
      </c>
      <c r="C90" s="18">
        <v>14.493</v>
      </c>
      <c r="D90" s="17">
        <v>45922</v>
      </c>
      <c r="E90" s="19" t="s">
        <v>7</v>
      </c>
      <c r="F90" s="20"/>
    </row>
    <row r="91" spans="1:6" ht="18" x14ac:dyDescent="0.25">
      <c r="A91" s="16">
        <v>434790000</v>
      </c>
      <c r="B91" s="17">
        <v>44826</v>
      </c>
      <c r="C91" s="18">
        <v>17.574999999999999</v>
      </c>
      <c r="D91" s="17">
        <v>45922</v>
      </c>
      <c r="E91" s="19" t="s">
        <v>7</v>
      </c>
      <c r="F91" s="20"/>
    </row>
    <row r="92" spans="1:6" ht="18" x14ac:dyDescent="0.25">
      <c r="A92" s="16">
        <v>7000000000</v>
      </c>
      <c r="B92" s="17">
        <v>44833</v>
      </c>
      <c r="C92" s="18">
        <v>17.594999999999999</v>
      </c>
      <c r="D92" s="17">
        <v>45929</v>
      </c>
      <c r="E92" s="19" t="s">
        <v>7</v>
      </c>
      <c r="F92" s="20"/>
    </row>
    <row r="93" spans="1:6" ht="18" x14ac:dyDescent="0.25">
      <c r="A93" s="16">
        <v>34665057000</v>
      </c>
      <c r="B93" s="17">
        <v>44838</v>
      </c>
      <c r="C93" s="18">
        <v>17.652000000000001</v>
      </c>
      <c r="D93" s="17">
        <v>45934</v>
      </c>
      <c r="E93" s="19" t="s">
        <v>7</v>
      </c>
      <c r="F93" s="20"/>
    </row>
    <row r="94" spans="1:6" ht="18" x14ac:dyDescent="0.25">
      <c r="A94" s="16">
        <f>12794200000</f>
        <v>12794200000</v>
      </c>
      <c r="B94" s="17">
        <v>44110</v>
      </c>
      <c r="C94" s="18">
        <v>14.388</v>
      </c>
      <c r="D94" s="17">
        <v>45936</v>
      </c>
      <c r="E94" s="19" t="s">
        <v>7</v>
      </c>
      <c r="F94" s="20"/>
    </row>
    <row r="95" spans="1:6" ht="18" x14ac:dyDescent="0.25">
      <c r="A95" s="16">
        <v>655485000</v>
      </c>
      <c r="B95" s="17">
        <v>44846</v>
      </c>
      <c r="C95" s="18">
        <v>17.748000000000001</v>
      </c>
      <c r="D95" s="17">
        <v>45942</v>
      </c>
      <c r="E95" s="19" t="s">
        <v>7</v>
      </c>
      <c r="F95" s="20"/>
    </row>
    <row r="96" spans="1:6" ht="18" x14ac:dyDescent="0.25">
      <c r="A96" s="16">
        <f>7742300000+5682220000+5000000000+13631500000+10937450000+9490750000</f>
        <v>52484220000</v>
      </c>
      <c r="B96" s="17">
        <v>44124</v>
      </c>
      <c r="C96" s="18">
        <v>14.369</v>
      </c>
      <c r="D96" s="17">
        <v>45950</v>
      </c>
      <c r="E96" s="19" t="s">
        <v>7</v>
      </c>
      <c r="F96" s="20"/>
    </row>
    <row r="97" spans="1:6" ht="18" x14ac:dyDescent="0.25">
      <c r="A97" s="16">
        <v>323302000</v>
      </c>
      <c r="B97" s="17">
        <v>44854</v>
      </c>
      <c r="C97" s="18">
        <v>17.742000000000001</v>
      </c>
      <c r="D97" s="17">
        <v>45950</v>
      </c>
      <c r="E97" s="19" t="s">
        <v>7</v>
      </c>
      <c r="F97" s="20"/>
    </row>
    <row r="98" spans="1:6" ht="18" x14ac:dyDescent="0.25">
      <c r="A98" s="16">
        <f>2250000000+2250000000+2250000000+2250000000+1750000000+1000000000+1750000000+1000000000+698500000+2000000000</f>
        <v>17198500000</v>
      </c>
      <c r="B98" s="17">
        <v>42318</v>
      </c>
      <c r="C98" s="18">
        <v>15.3</v>
      </c>
      <c r="D98" s="17">
        <v>45971</v>
      </c>
      <c r="E98" s="19" t="s">
        <v>8</v>
      </c>
      <c r="F98" s="20"/>
    </row>
    <row r="99" spans="1:6" ht="18" x14ac:dyDescent="0.25">
      <c r="A99" s="16">
        <v>2000000000</v>
      </c>
      <c r="B99" s="17">
        <v>44160</v>
      </c>
      <c r="C99" s="18">
        <v>14.28</v>
      </c>
      <c r="D99" s="17">
        <v>45986</v>
      </c>
      <c r="E99" s="19" t="s">
        <v>7</v>
      </c>
      <c r="F99" s="20"/>
    </row>
    <row r="100" spans="1:6" ht="18" x14ac:dyDescent="0.25">
      <c r="A100" s="16">
        <v>4000000000</v>
      </c>
      <c r="B100" s="17">
        <v>44194</v>
      </c>
      <c r="C100" s="18">
        <v>14.117000000000001</v>
      </c>
      <c r="D100" s="17">
        <v>46020</v>
      </c>
      <c r="E100" s="19" t="s">
        <v>7</v>
      </c>
      <c r="F100" s="20"/>
    </row>
    <row r="101" spans="1:6" ht="18" x14ac:dyDescent="0.25">
      <c r="A101" s="16">
        <f>8000000000+8049886000+17216050000+12232748000+4651547000+3451419000+100000000</f>
        <v>53701650000</v>
      </c>
      <c r="B101" s="17">
        <v>44208</v>
      </c>
      <c r="C101" s="18">
        <v>14.06</v>
      </c>
      <c r="D101" s="17">
        <v>46034</v>
      </c>
      <c r="E101" s="19" t="s">
        <v>7</v>
      </c>
      <c r="F101" s="20"/>
    </row>
    <row r="102" spans="1:6" ht="18" x14ac:dyDescent="0.25">
      <c r="A102" s="16">
        <f>5000000000</f>
        <v>5000000000</v>
      </c>
      <c r="B102" s="17">
        <v>44255</v>
      </c>
      <c r="C102" s="18">
        <v>14.403</v>
      </c>
      <c r="D102" s="17">
        <v>46081</v>
      </c>
      <c r="E102" s="19" t="s">
        <v>7</v>
      </c>
      <c r="F102" s="20"/>
    </row>
    <row r="103" spans="1:6" ht="18" x14ac:dyDescent="0.25">
      <c r="A103" s="16">
        <f>322300000+500000000+1192000000+1000000000+713100000+1000000000+661000000+340000000+1358500000+1292150000+250000000+4097300000+1200000000+2213090000+2000000000+17625000</f>
        <v>18157065000</v>
      </c>
      <c r="B103" s="17">
        <v>43557</v>
      </c>
      <c r="C103" s="18">
        <v>16.5</v>
      </c>
      <c r="D103" s="17">
        <v>46114</v>
      </c>
      <c r="E103" s="19" t="s">
        <v>7</v>
      </c>
      <c r="F103" s="20"/>
    </row>
    <row r="104" spans="1:6" ht="18" x14ac:dyDescent="0.25">
      <c r="A104" s="16">
        <f>6066265000+7831200000+8142164000+10118813000+6058880000+8479978000+2983110000</f>
        <v>49680410000</v>
      </c>
      <c r="B104" s="17">
        <v>44292</v>
      </c>
      <c r="C104" s="18">
        <v>14.483000000000001</v>
      </c>
      <c r="D104" s="17">
        <v>46118</v>
      </c>
      <c r="E104" s="19" t="s">
        <v>7</v>
      </c>
      <c r="F104" s="20"/>
    </row>
    <row r="105" spans="1:6" ht="18" x14ac:dyDescent="0.25">
      <c r="A105" s="16">
        <f>5000000000</f>
        <v>5000000000</v>
      </c>
      <c r="B105" s="17">
        <v>44376</v>
      </c>
      <c r="C105" s="18">
        <v>14.561999999999999</v>
      </c>
      <c r="D105" s="17">
        <v>46202</v>
      </c>
      <c r="E105" s="19" t="s">
        <v>7</v>
      </c>
      <c r="F105" s="20"/>
    </row>
    <row r="106" spans="1:6" ht="18" x14ac:dyDescent="0.25">
      <c r="A106" s="16">
        <f>550000000+800000000+500000000+500000000+500000000+250000000+250000000+250000000+730652000+252370000+250000000+250000000+370250000+278252000+350000000+367000000+250000000+250000000+458775000+250000000+750000000+339750000+1500000000</f>
        <v>10247049000</v>
      </c>
      <c r="B106" s="17">
        <v>42556</v>
      </c>
      <c r="C106" s="18">
        <v>17.149999999999999</v>
      </c>
      <c r="D106" s="17">
        <v>46208</v>
      </c>
      <c r="E106" s="19" t="s">
        <v>8</v>
      </c>
      <c r="F106" s="20"/>
    </row>
    <row r="107" spans="1:6" ht="18" x14ac:dyDescent="0.25">
      <c r="A107" s="16">
        <f>795510000+863965000+2985595000+2500000000+4172250000+3000000000+2500000000</f>
        <v>16817320000</v>
      </c>
      <c r="B107" s="17">
        <v>44383</v>
      </c>
      <c r="C107" s="18">
        <v>14.563000000000001</v>
      </c>
      <c r="D107" s="17">
        <v>46209</v>
      </c>
      <c r="E107" s="19" t="s">
        <v>7</v>
      </c>
      <c r="F107" s="20"/>
    </row>
    <row r="108" spans="1:6" ht="18" x14ac:dyDescent="0.25">
      <c r="A108" s="16">
        <f>5538000000+1250000000+3000000000+1250000000+3526427000+850000000</f>
        <v>15414427000</v>
      </c>
      <c r="B108" s="17">
        <v>43683</v>
      </c>
      <c r="C108" s="18">
        <v>15.6</v>
      </c>
      <c r="D108" s="17">
        <v>46240</v>
      </c>
      <c r="E108" s="19" t="s">
        <v>7</v>
      </c>
      <c r="F108" s="20"/>
    </row>
    <row r="109" spans="1:6" ht="18" x14ac:dyDescent="0.25">
      <c r="A109" s="16">
        <f>1365825000+3045535000+1021008000+686600000+1000000000+856000000+1034200000</f>
        <v>9009168000</v>
      </c>
      <c r="B109" s="17">
        <v>44474</v>
      </c>
      <c r="C109" s="18">
        <v>14.423999999999999</v>
      </c>
      <c r="D109" s="17">
        <v>46300</v>
      </c>
      <c r="E109" s="19" t="s">
        <v>7</v>
      </c>
      <c r="F109" s="20"/>
    </row>
    <row r="110" spans="1:6" ht="18" x14ac:dyDescent="0.25">
      <c r="A110" s="16">
        <f>3548500000+2709500000+1500000000+1476000000+1200000000+1000000000+900000000+300000000+1766500000+494332000+500000000+2000000000</f>
        <v>17394832000</v>
      </c>
      <c r="B110" s="17">
        <v>43753</v>
      </c>
      <c r="C110" s="18">
        <v>14.217000000000001</v>
      </c>
      <c r="D110" s="17">
        <v>46310</v>
      </c>
      <c r="E110" s="19" t="s">
        <v>7</v>
      </c>
      <c r="F110" s="20"/>
    </row>
    <row r="111" spans="1:6" ht="18" x14ac:dyDescent="0.25">
      <c r="A111" s="16">
        <f>4302900000+2450000000+2399731000+208950000+3250000000+791715000+1200550000</f>
        <v>14603846000</v>
      </c>
      <c r="B111" s="17">
        <v>43837</v>
      </c>
      <c r="C111" s="18">
        <v>13.771000000000001</v>
      </c>
      <c r="D111" s="17">
        <v>46394</v>
      </c>
      <c r="E111" s="19" t="s">
        <v>7</v>
      </c>
      <c r="F111" s="20"/>
    </row>
    <row r="112" spans="1:6" ht="18" x14ac:dyDescent="0.25">
      <c r="A112" s="16">
        <f>804100000+1671102000+1195179000+1540540000+138377000+11000000</f>
        <v>5360298000</v>
      </c>
      <c r="B112" s="17">
        <v>44572</v>
      </c>
      <c r="C112" s="18">
        <v>14.285</v>
      </c>
      <c r="D112" s="17">
        <v>46398</v>
      </c>
      <c r="E112" s="19" t="s">
        <v>7</v>
      </c>
      <c r="F112" s="20"/>
    </row>
    <row r="113" spans="1:6" ht="18" x14ac:dyDescent="0.25">
      <c r="A113" s="16">
        <f>1000000000</f>
        <v>1000000000</v>
      </c>
      <c r="B113" s="17">
        <v>43921</v>
      </c>
      <c r="C113" s="18">
        <v>14</v>
      </c>
      <c r="D113" s="17">
        <v>46477</v>
      </c>
      <c r="E113" s="19" t="s">
        <v>7</v>
      </c>
      <c r="F113" s="20"/>
    </row>
    <row r="114" spans="1:6" ht="18" x14ac:dyDescent="0.25">
      <c r="A114" s="16">
        <f>48120000+740000000+70000000+62000000+36125000+74400000+4600000</f>
        <v>1035245000</v>
      </c>
      <c r="B114" s="17">
        <v>44656</v>
      </c>
      <c r="C114" s="18">
        <v>14.222</v>
      </c>
      <c r="D114" s="17">
        <v>46482</v>
      </c>
      <c r="E114" s="19" t="s">
        <v>7</v>
      </c>
      <c r="F114" s="20"/>
    </row>
    <row r="115" spans="1:6" ht="18" x14ac:dyDescent="0.25">
      <c r="A115" s="16">
        <f>3250000000+214000000+249000000+12800000</f>
        <v>3725800000</v>
      </c>
      <c r="B115" s="17">
        <v>43935</v>
      </c>
      <c r="C115" s="18">
        <v>13.204000000000001</v>
      </c>
      <c r="D115" s="17">
        <v>46491</v>
      </c>
      <c r="E115" s="19" t="s">
        <v>7</v>
      </c>
      <c r="F115" s="20"/>
    </row>
    <row r="116" spans="1:6" ht="18" x14ac:dyDescent="0.25">
      <c r="A116" s="16">
        <f>3375000000</f>
        <v>3375000000</v>
      </c>
      <c r="B116" s="17">
        <v>43949</v>
      </c>
      <c r="C116" s="18">
        <v>13.391</v>
      </c>
      <c r="D116" s="17">
        <v>46505</v>
      </c>
      <c r="E116" s="19" t="s">
        <v>7</v>
      </c>
      <c r="F116" s="20"/>
    </row>
    <row r="117" spans="1:6" ht="18" x14ac:dyDescent="0.25">
      <c r="A117" s="16">
        <f>300000000+330000000+1309100000+823175000+750000000+750000000+750000000+750000000+750000000+1000000000+1214800000+1098280000+1250000000+1047125000+500000000+2290000000</f>
        <v>14912480000</v>
      </c>
      <c r="B117" s="17">
        <v>42864</v>
      </c>
      <c r="C117" s="18">
        <v>17.18</v>
      </c>
      <c r="D117" s="17">
        <v>46516</v>
      </c>
      <c r="E117" s="19" t="s">
        <v>8</v>
      </c>
      <c r="F117" s="20"/>
    </row>
    <row r="118" spans="1:6" ht="18" x14ac:dyDescent="0.25">
      <c r="A118" s="16">
        <f>5000000000</f>
        <v>5000000000</v>
      </c>
      <c r="B118" s="17">
        <v>43970</v>
      </c>
      <c r="C118" s="18">
        <v>13.548</v>
      </c>
      <c r="D118" s="17">
        <v>46526</v>
      </c>
      <c r="E118" s="19" t="s">
        <v>7</v>
      </c>
      <c r="F118" s="20"/>
    </row>
    <row r="119" spans="1:6" ht="18" x14ac:dyDescent="0.25">
      <c r="A119" s="16">
        <f>1229475000+8800000</f>
        <v>1238275000</v>
      </c>
      <c r="B119" s="17">
        <v>43991</v>
      </c>
      <c r="C119" s="18">
        <v>13.723000000000001</v>
      </c>
      <c r="D119" s="17">
        <v>46547</v>
      </c>
      <c r="E119" s="19" t="s">
        <v>7</v>
      </c>
      <c r="F119" s="20"/>
    </row>
    <row r="120" spans="1:6" ht="18" x14ac:dyDescent="0.25">
      <c r="A120" s="16">
        <v>8375000000</v>
      </c>
      <c r="B120" s="17">
        <v>44005</v>
      </c>
      <c r="C120" s="18">
        <v>13.861000000000001</v>
      </c>
      <c r="D120" s="17">
        <v>46561</v>
      </c>
      <c r="E120" s="19" t="s">
        <v>7</v>
      </c>
      <c r="F120" s="20"/>
    </row>
    <row r="121" spans="1:6" ht="18" x14ac:dyDescent="0.25">
      <c r="A121" s="16">
        <f>3000000000</f>
        <v>3000000000</v>
      </c>
      <c r="B121" s="17">
        <v>44740</v>
      </c>
      <c r="C121" s="18">
        <v>14.233000000000001</v>
      </c>
      <c r="D121" s="17">
        <v>46566</v>
      </c>
      <c r="E121" s="19" t="s">
        <v>7</v>
      </c>
      <c r="F121" s="20"/>
    </row>
    <row r="122" spans="1:6" ht="18" x14ac:dyDescent="0.25">
      <c r="A122" s="16">
        <f>1446800000+1634650000+1415350000+480350000+44800000+500000000+5250000000+2826825000+3000000000</f>
        <v>16598775000</v>
      </c>
      <c r="B122" s="17">
        <v>44019</v>
      </c>
      <c r="C122" s="18">
        <v>14.406000000000001</v>
      </c>
      <c r="D122" s="17">
        <v>46575</v>
      </c>
      <c r="E122" s="19" t="s">
        <v>7</v>
      </c>
      <c r="F122" s="20"/>
    </row>
    <row r="123" spans="1:6" ht="18" x14ac:dyDescent="0.25">
      <c r="A123" s="16">
        <f>211627000+30000000+18000000</f>
        <v>259627000</v>
      </c>
      <c r="B123" s="17">
        <v>44754</v>
      </c>
      <c r="C123" s="18">
        <v>15.5</v>
      </c>
      <c r="D123" s="17">
        <v>46580</v>
      </c>
      <c r="E123" s="19" t="s">
        <v>7</v>
      </c>
      <c r="F123" s="20"/>
    </row>
    <row r="124" spans="1:6" ht="18" x14ac:dyDescent="0.25">
      <c r="A124" s="21">
        <v>8884797000</v>
      </c>
      <c r="B124" s="22">
        <v>44833</v>
      </c>
      <c r="C124" s="23">
        <v>16.75</v>
      </c>
      <c r="D124" s="22">
        <v>46659</v>
      </c>
      <c r="E124" s="24" t="s">
        <v>7</v>
      </c>
      <c r="F124" s="20"/>
    </row>
    <row r="125" spans="1:6" ht="18" x14ac:dyDescent="0.25">
      <c r="A125" s="16">
        <v>31492346000</v>
      </c>
      <c r="B125" s="17">
        <v>44117</v>
      </c>
      <c r="C125" s="18">
        <v>14.555999999999999</v>
      </c>
      <c r="D125" s="17">
        <v>46673</v>
      </c>
      <c r="E125" s="19" t="s">
        <v>7</v>
      </c>
      <c r="F125" s="20"/>
    </row>
    <row r="126" spans="1:6" ht="18" x14ac:dyDescent="0.25">
      <c r="A126" s="16">
        <f>986000000+1473232000+1250000000+1000000000+1000000000+776210000+847289000+703000000+532580000+1504930000+1000000000+470600000+290000000+492300000+1323180000</f>
        <v>13649321000</v>
      </c>
      <c r="B126" s="17">
        <v>43046</v>
      </c>
      <c r="C126" s="18">
        <v>15.7</v>
      </c>
      <c r="D126" s="17">
        <v>46698</v>
      </c>
      <c r="E126" s="19" t="s">
        <v>8</v>
      </c>
      <c r="F126" s="20"/>
    </row>
    <row r="127" spans="1:6" ht="18" x14ac:dyDescent="0.25">
      <c r="A127" s="16">
        <v>2000000000</v>
      </c>
      <c r="B127" s="17">
        <v>44160</v>
      </c>
      <c r="C127" s="18">
        <v>14.423</v>
      </c>
      <c r="D127" s="17">
        <v>46716</v>
      </c>
      <c r="E127" s="19" t="s">
        <v>7</v>
      </c>
      <c r="F127" s="20"/>
    </row>
    <row r="128" spans="1:6" ht="18" x14ac:dyDescent="0.25">
      <c r="A128" s="16">
        <v>4000000000</v>
      </c>
      <c r="B128" s="17">
        <v>44194</v>
      </c>
      <c r="C128" s="18">
        <v>14.18</v>
      </c>
      <c r="D128" s="17">
        <v>46750</v>
      </c>
      <c r="E128" s="19" t="s">
        <v>7</v>
      </c>
      <c r="F128" s="20"/>
    </row>
    <row r="129" spans="1:6" ht="18" x14ac:dyDescent="0.25">
      <c r="A129" s="16">
        <v>29722459000</v>
      </c>
      <c r="B129" s="17">
        <v>44201</v>
      </c>
      <c r="C129" s="18">
        <v>14.292</v>
      </c>
      <c r="D129" s="17">
        <v>46757</v>
      </c>
      <c r="E129" s="19" t="s">
        <v>7</v>
      </c>
      <c r="F129" s="20"/>
    </row>
    <row r="130" spans="1:6" ht="18" x14ac:dyDescent="0.25">
      <c r="A130" s="16">
        <f>4164125000</f>
        <v>4164125000</v>
      </c>
      <c r="B130" s="17">
        <v>44255</v>
      </c>
      <c r="C130" s="18">
        <v>14.374000000000001</v>
      </c>
      <c r="D130" s="17">
        <v>46811</v>
      </c>
      <c r="E130" s="19" t="s">
        <v>7</v>
      </c>
      <c r="F130" s="20"/>
    </row>
    <row r="131" spans="1:6" ht="18" x14ac:dyDescent="0.25">
      <c r="A131" s="16">
        <f>525800000+2242242000+1098788000+1092392000+587121000+3682171000</f>
        <v>9228514000</v>
      </c>
      <c r="B131" s="17">
        <v>44299</v>
      </c>
      <c r="C131" s="18">
        <v>14.551</v>
      </c>
      <c r="D131" s="17">
        <v>46856</v>
      </c>
      <c r="E131" s="19" t="s">
        <v>7</v>
      </c>
      <c r="F131" s="20"/>
    </row>
    <row r="132" spans="1:6" ht="18" x14ac:dyDescent="0.25">
      <c r="A132" s="16">
        <f>1041185000+803000000+800025000+1051875000+500000000+974000000</f>
        <v>5170085000</v>
      </c>
      <c r="B132" s="17">
        <v>43228</v>
      </c>
      <c r="C132" s="18">
        <v>14.9</v>
      </c>
      <c r="D132" s="17">
        <v>46881</v>
      </c>
      <c r="E132" s="19" t="s">
        <v>7</v>
      </c>
      <c r="F132" s="20"/>
    </row>
    <row r="133" spans="1:6" ht="18" x14ac:dyDescent="0.25">
      <c r="A133" s="16">
        <f>5000000000</f>
        <v>5000000000</v>
      </c>
      <c r="B133" s="17">
        <v>44376</v>
      </c>
      <c r="C133" s="18">
        <v>14.59</v>
      </c>
      <c r="D133" s="17">
        <v>46933</v>
      </c>
      <c r="E133" s="19" t="s">
        <v>7</v>
      </c>
      <c r="F133" s="20"/>
    </row>
    <row r="134" spans="1:6" ht="18" x14ac:dyDescent="0.25">
      <c r="A134" s="16">
        <f>277400000+532250000+633000000+870775000+33500000</f>
        <v>2346925000</v>
      </c>
      <c r="B134" s="17">
        <v>44390</v>
      </c>
      <c r="C134" s="18">
        <v>14.585000000000001</v>
      </c>
      <c r="D134" s="17">
        <v>46947</v>
      </c>
      <c r="E134" s="19" t="s">
        <v>7</v>
      </c>
      <c r="F134" s="20"/>
    </row>
    <row r="135" spans="1:6" ht="18" x14ac:dyDescent="0.25">
      <c r="A135" s="16">
        <f>137060000+692230000+134507000+143500000+203031000+115000000</f>
        <v>1425328000</v>
      </c>
      <c r="B135" s="17">
        <v>44481</v>
      </c>
      <c r="C135" s="18">
        <v>14.574999999999999</v>
      </c>
      <c r="D135" s="17">
        <v>47038</v>
      </c>
      <c r="E135" s="19" t="s">
        <v>7</v>
      </c>
      <c r="F135" s="20"/>
    </row>
    <row r="136" spans="1:6" ht="18" x14ac:dyDescent="0.25">
      <c r="A136" s="16">
        <f>2000000000</f>
        <v>2000000000</v>
      </c>
      <c r="B136" s="17">
        <v>44500</v>
      </c>
      <c r="C136" s="18">
        <v>14.595000000000001</v>
      </c>
      <c r="D136" s="17">
        <v>47057</v>
      </c>
      <c r="E136" s="19" t="s">
        <v>7</v>
      </c>
      <c r="F136" s="20"/>
    </row>
    <row r="137" spans="1:6" ht="18" x14ac:dyDescent="0.25">
      <c r="A137" s="16">
        <f>500000000+218450000+1006600000+102760000+500000000+1030850000+977050000+286968000+500000000+400000000+1495000000+150000000+1700000000+208000000</f>
        <v>9075678000</v>
      </c>
      <c r="B137" s="17">
        <v>43410</v>
      </c>
      <c r="C137" s="18">
        <v>18</v>
      </c>
      <c r="D137" s="17">
        <v>47063</v>
      </c>
      <c r="E137" s="19" t="s">
        <v>7</v>
      </c>
      <c r="F137" s="20"/>
    </row>
    <row r="138" spans="1:6" ht="18" x14ac:dyDescent="0.25">
      <c r="A138" s="16">
        <f>352000000+90500000+14035000+401625000+19400000+17610000+3000702000</f>
        <v>3895872000</v>
      </c>
      <c r="B138" s="17">
        <v>44565</v>
      </c>
      <c r="C138" s="18">
        <v>14.598000000000001</v>
      </c>
      <c r="D138" s="17">
        <v>47122</v>
      </c>
      <c r="E138" s="19" t="s">
        <v>7</v>
      </c>
      <c r="F138" s="20"/>
    </row>
    <row r="139" spans="1:6" ht="18" x14ac:dyDescent="0.25">
      <c r="A139" s="16">
        <v>22118866000</v>
      </c>
      <c r="B139" s="17">
        <v>43592</v>
      </c>
      <c r="C139" s="18">
        <v>16.100000000000001</v>
      </c>
      <c r="D139" s="17">
        <v>47245</v>
      </c>
      <c r="E139" s="19" t="s">
        <v>7</v>
      </c>
      <c r="F139" s="20"/>
    </row>
    <row r="140" spans="1:6" ht="18" x14ac:dyDescent="0.25">
      <c r="A140" s="16">
        <f>75000000+59000000+39440000+3000000</f>
        <v>176440000</v>
      </c>
      <c r="B140" s="17">
        <v>44691</v>
      </c>
      <c r="C140" s="18">
        <v>14.63</v>
      </c>
      <c r="D140" s="17">
        <v>47248</v>
      </c>
      <c r="E140" s="19" t="s">
        <v>7</v>
      </c>
      <c r="F140" s="20"/>
    </row>
    <row r="141" spans="1:6" ht="18" x14ac:dyDescent="0.25">
      <c r="A141" s="16">
        <f>4999808000</f>
        <v>4999808000</v>
      </c>
      <c r="B141" s="17">
        <v>44740</v>
      </c>
      <c r="C141" s="18">
        <v>14.63</v>
      </c>
      <c r="D141" s="17">
        <v>47297</v>
      </c>
      <c r="E141" s="19" t="s">
        <v>7</v>
      </c>
      <c r="F141" s="20"/>
    </row>
    <row r="142" spans="1:6" ht="18" x14ac:dyDescent="0.25">
      <c r="A142" s="16">
        <f>52500000+1750000</f>
        <v>54250000</v>
      </c>
      <c r="B142" s="17">
        <v>44747</v>
      </c>
      <c r="C142" s="18">
        <v>14.65</v>
      </c>
      <c r="D142" s="17">
        <v>47304</v>
      </c>
      <c r="E142" s="19" t="s">
        <v>7</v>
      </c>
      <c r="F142" s="20"/>
    </row>
    <row r="143" spans="1:6" ht="18" x14ac:dyDescent="0.25">
      <c r="A143" s="16">
        <f>4500750000+400000000+2000000000+2280450000+1501625000+500000000+3270195000+1750000000+371000000+290000000+2116940000+100000000</f>
        <v>19080960000</v>
      </c>
      <c r="B143" s="17">
        <v>43718</v>
      </c>
      <c r="C143" s="18">
        <v>14.4</v>
      </c>
      <c r="D143" s="17">
        <v>47371</v>
      </c>
      <c r="E143" s="19" t="s">
        <v>7</v>
      </c>
      <c r="F143" s="20"/>
    </row>
    <row r="144" spans="1:6" ht="18" x14ac:dyDescent="0.25">
      <c r="A144" s="16">
        <f>1750000000+10000000000</f>
        <v>11750000000</v>
      </c>
      <c r="B144" s="17">
        <v>43830</v>
      </c>
      <c r="C144" s="18">
        <v>13.702999999999999</v>
      </c>
      <c r="D144" s="17">
        <v>47483</v>
      </c>
      <c r="E144" s="19" t="s">
        <v>7</v>
      </c>
      <c r="F144" s="20"/>
    </row>
    <row r="145" spans="1:6" ht="18" x14ac:dyDescent="0.25">
      <c r="A145" s="16">
        <f>5508290000+600000000+4129490000+2430190000+2952950000+77000000</f>
        <v>15697920000</v>
      </c>
      <c r="B145" s="17">
        <v>43844</v>
      </c>
      <c r="C145" s="18">
        <v>13.564</v>
      </c>
      <c r="D145" s="17">
        <v>47497</v>
      </c>
      <c r="E145" s="19" t="s">
        <v>7</v>
      </c>
      <c r="F145" s="20"/>
    </row>
    <row r="146" spans="1:6" ht="18" x14ac:dyDescent="0.25">
      <c r="A146" s="16">
        <f>3500000000+3000000000</f>
        <v>6500000000</v>
      </c>
      <c r="B146" s="17">
        <v>43914</v>
      </c>
      <c r="C146" s="18">
        <v>13.938000000000001</v>
      </c>
      <c r="D146" s="17">
        <v>47566</v>
      </c>
      <c r="E146" s="19" t="s">
        <v>7</v>
      </c>
      <c r="F146" s="20"/>
    </row>
    <row r="147" spans="1:6" ht="18" x14ac:dyDescent="0.25">
      <c r="A147" s="16">
        <f>3000000000+112000000+50000000</f>
        <v>3162000000</v>
      </c>
      <c r="B147" s="17">
        <v>43942</v>
      </c>
      <c r="C147" s="18">
        <v>13.411</v>
      </c>
      <c r="D147" s="17">
        <v>47594</v>
      </c>
      <c r="E147" s="19" t="s">
        <v>7</v>
      </c>
      <c r="F147" s="20"/>
    </row>
    <row r="148" spans="1:6" ht="18" x14ac:dyDescent="0.25">
      <c r="A148" s="16">
        <f>10000000+1500000</f>
        <v>11500000</v>
      </c>
      <c r="B148" s="17">
        <v>43998</v>
      </c>
      <c r="C148" s="18">
        <v>13.8</v>
      </c>
      <c r="D148" s="17">
        <v>47650</v>
      </c>
      <c r="E148" s="19" t="s">
        <v>7</v>
      </c>
      <c r="F148" s="20"/>
    </row>
    <row r="149" spans="1:6" ht="18" x14ac:dyDescent="0.25">
      <c r="A149" s="16">
        <f>482200000+766200000+134800000+85000000+2095104000+500000000+6397000000</f>
        <v>10460304000</v>
      </c>
      <c r="B149" s="17">
        <v>44026</v>
      </c>
      <c r="C149" s="18">
        <v>14.425000000000001</v>
      </c>
      <c r="D149" s="17">
        <v>47678</v>
      </c>
      <c r="E149" s="19" t="s">
        <v>7</v>
      </c>
      <c r="F149" s="20"/>
    </row>
    <row r="150" spans="1:6" ht="18" x14ac:dyDescent="0.25">
      <c r="A150" s="16">
        <f>434650000+3500000000+3923600000+3688867000+2291000000+1029900000+5261000000</f>
        <v>20129017000</v>
      </c>
      <c r="B150" s="17">
        <v>44110</v>
      </c>
      <c r="C150" s="18">
        <v>14.664</v>
      </c>
      <c r="D150" s="17">
        <v>47762</v>
      </c>
      <c r="E150" s="19" t="s">
        <v>7</v>
      </c>
      <c r="F150" s="20"/>
    </row>
    <row r="151" spans="1:6" ht="18" x14ac:dyDescent="0.25">
      <c r="A151" s="16">
        <v>10000000000</v>
      </c>
      <c r="B151" s="17">
        <v>44131</v>
      </c>
      <c r="C151" s="18">
        <v>14.731</v>
      </c>
      <c r="D151" s="17">
        <v>47783</v>
      </c>
      <c r="E151" s="19" t="s">
        <v>7</v>
      </c>
      <c r="F151" s="20"/>
    </row>
    <row r="152" spans="1:6" ht="18" x14ac:dyDescent="0.25">
      <c r="A152" s="16">
        <v>10164125000</v>
      </c>
      <c r="B152" s="17">
        <v>44160</v>
      </c>
      <c r="C152" s="18">
        <v>14.505000000000001</v>
      </c>
      <c r="D152" s="17">
        <v>47812</v>
      </c>
      <c r="E152" s="19" t="s">
        <v>7</v>
      </c>
      <c r="F152" s="20"/>
    </row>
    <row r="153" spans="1:6" ht="18" x14ac:dyDescent="0.25">
      <c r="A153" s="16">
        <v>4164125000</v>
      </c>
      <c r="B153" s="17">
        <v>44194</v>
      </c>
      <c r="C153" s="18">
        <v>14.394</v>
      </c>
      <c r="D153" s="17">
        <v>47846</v>
      </c>
      <c r="E153" s="19" t="s">
        <v>7</v>
      </c>
      <c r="F153" s="20"/>
    </row>
    <row r="154" spans="1:6" ht="18" x14ac:dyDescent="0.25">
      <c r="A154" s="16">
        <v>15240536000</v>
      </c>
      <c r="B154" s="17">
        <v>44208</v>
      </c>
      <c r="C154" s="18">
        <v>14.382</v>
      </c>
      <c r="D154" s="17">
        <v>47860</v>
      </c>
      <c r="E154" s="19" t="s">
        <v>7</v>
      </c>
      <c r="F154" s="20"/>
    </row>
    <row r="155" spans="1:6" ht="18" x14ac:dyDescent="0.25">
      <c r="A155" s="16">
        <f>3664150000+2529650000+257777000+489450000+2905383000+954250000+100950000</f>
        <v>10901610000</v>
      </c>
      <c r="B155" s="17">
        <v>44292</v>
      </c>
      <c r="C155" s="18">
        <v>14.82</v>
      </c>
      <c r="D155" s="17">
        <v>47944</v>
      </c>
      <c r="E155" s="19" t="s">
        <v>7</v>
      </c>
      <c r="F155" s="20"/>
    </row>
    <row r="156" spans="1:6" ht="18" x14ac:dyDescent="0.25">
      <c r="A156" s="16">
        <v>4164125000</v>
      </c>
      <c r="B156" s="17">
        <v>44376</v>
      </c>
      <c r="C156" s="18">
        <v>14.826000000000001</v>
      </c>
      <c r="D156" s="17">
        <v>48028</v>
      </c>
      <c r="E156" s="19" t="s">
        <v>7</v>
      </c>
      <c r="F156" s="20"/>
    </row>
    <row r="157" spans="1:6" ht="18" x14ac:dyDescent="0.25">
      <c r="A157" s="16">
        <f>8500000+53700000+572271000+1500000000+136010000+229545000+371352000</f>
        <v>2871378000</v>
      </c>
      <c r="B157" s="17">
        <v>44383</v>
      </c>
      <c r="C157" s="18">
        <v>14.82</v>
      </c>
      <c r="D157" s="17">
        <v>48035</v>
      </c>
      <c r="E157" s="19" t="s">
        <v>7</v>
      </c>
      <c r="F157" s="20"/>
    </row>
    <row r="158" spans="1:6" ht="18" x14ac:dyDescent="0.25">
      <c r="A158" s="16">
        <f>76400000+233250000+63896000+32600000+1250000+41741000+91125000</f>
        <v>540262000</v>
      </c>
      <c r="B158" s="17">
        <v>44474</v>
      </c>
      <c r="C158" s="18">
        <v>14.7</v>
      </c>
      <c r="D158" s="17">
        <v>48126</v>
      </c>
      <c r="E158" s="19" t="s">
        <v>7</v>
      </c>
      <c r="F158" s="20"/>
    </row>
    <row r="159" spans="1:6" ht="18" x14ac:dyDescent="0.25">
      <c r="A159" s="16">
        <f>68000000+37950000+20500000+24000000+54733000</f>
        <v>205183000</v>
      </c>
      <c r="B159" s="17">
        <v>44572</v>
      </c>
      <c r="C159" s="18">
        <v>14.72</v>
      </c>
      <c r="D159" s="17">
        <v>48224</v>
      </c>
      <c r="E159" s="19" t="s">
        <v>7</v>
      </c>
      <c r="F159" s="20"/>
    </row>
    <row r="160" spans="1:6" ht="18" x14ac:dyDescent="0.25">
      <c r="A160" s="16">
        <f>2905000+1350000</f>
        <v>4255000</v>
      </c>
      <c r="B160" s="17">
        <v>44698</v>
      </c>
      <c r="C160" s="18">
        <v>14.372</v>
      </c>
      <c r="D160" s="17">
        <v>48351</v>
      </c>
      <c r="E160" s="19" t="s">
        <v>7</v>
      </c>
      <c r="F160" s="20"/>
    </row>
    <row r="161" spans="1:6" ht="18" x14ac:dyDescent="0.25">
      <c r="A161" s="16">
        <f>1000000000+112000000+2000000000+2500000000+108950000</f>
        <v>5720950000</v>
      </c>
      <c r="B161" s="17">
        <v>44040</v>
      </c>
      <c r="C161" s="18">
        <v>15.433</v>
      </c>
      <c r="D161" s="17">
        <v>49518</v>
      </c>
      <c r="E161" s="19" t="s">
        <v>7</v>
      </c>
      <c r="F161" s="20"/>
    </row>
    <row r="162" spans="1:6" ht="18" x14ac:dyDescent="0.25">
      <c r="A162" s="16">
        <f>695175000+4164125000+191000000+1150000000</f>
        <v>6200300000</v>
      </c>
      <c r="B162" s="17">
        <v>44131</v>
      </c>
      <c r="C162" s="18">
        <v>15.342000000000001</v>
      </c>
      <c r="D162" s="17">
        <v>49609</v>
      </c>
      <c r="E162" s="19" t="s">
        <v>7</v>
      </c>
      <c r="F162" s="20"/>
    </row>
    <row r="163" spans="1:6" ht="18" x14ac:dyDescent="0.25">
      <c r="A163" s="16">
        <v>1868750000</v>
      </c>
      <c r="B163" s="17">
        <v>44222</v>
      </c>
      <c r="C163" s="18">
        <v>15.276</v>
      </c>
      <c r="D163" s="17">
        <v>49700</v>
      </c>
      <c r="E163" s="19" t="s">
        <v>7</v>
      </c>
      <c r="F163" s="20"/>
    </row>
    <row r="164" spans="1:6" ht="18" x14ac:dyDescent="0.25">
      <c r="A164" s="16">
        <f>424650000+659050000+528870000</f>
        <v>1612570000</v>
      </c>
      <c r="B164" s="17">
        <v>44313</v>
      </c>
      <c r="C164" s="18">
        <v>15.37</v>
      </c>
      <c r="D164" s="17">
        <v>49792</v>
      </c>
      <c r="E164" s="19" t="s">
        <v>7</v>
      </c>
      <c r="F164" s="20"/>
    </row>
    <row r="165" spans="1:6" ht="18" x14ac:dyDescent="0.25">
      <c r="A165" s="16">
        <f>321750000+892870000+1000000000</f>
        <v>2214620000</v>
      </c>
      <c r="B165" s="17">
        <v>44390</v>
      </c>
      <c r="C165" s="18">
        <v>15.387</v>
      </c>
      <c r="D165" s="17">
        <v>49869</v>
      </c>
      <c r="E165" s="19" t="s">
        <v>7</v>
      </c>
      <c r="F165" s="20"/>
    </row>
    <row r="166" spans="1:6" ht="18" x14ac:dyDescent="0.25">
      <c r="A166" s="16">
        <f>413311000+93750000+14090000</f>
        <v>521151000</v>
      </c>
      <c r="B166" s="17">
        <v>44495</v>
      </c>
      <c r="C166" s="18">
        <v>15.371</v>
      </c>
      <c r="D166" s="17">
        <v>49974</v>
      </c>
      <c r="E166" s="19" t="s">
        <v>7</v>
      </c>
      <c r="F166" s="20"/>
    </row>
    <row r="167" spans="1:6" ht="18" x14ac:dyDescent="0.25">
      <c r="A167" s="16">
        <v>10999808000</v>
      </c>
      <c r="B167" s="17">
        <v>44500</v>
      </c>
      <c r="C167" s="18">
        <v>15.371</v>
      </c>
      <c r="D167" s="17">
        <v>49979</v>
      </c>
      <c r="E167" s="19" t="s">
        <v>7</v>
      </c>
      <c r="F167" s="20"/>
    </row>
    <row r="168" spans="1:6" ht="18" x14ac:dyDescent="0.25">
      <c r="A168" s="16">
        <f>29300000+645235000</f>
        <v>674535000</v>
      </c>
      <c r="B168" s="17">
        <v>44579</v>
      </c>
      <c r="C168" s="18">
        <v>15.379</v>
      </c>
      <c r="D168" s="17">
        <v>50058</v>
      </c>
      <c r="E168" s="19" t="s">
        <v>7</v>
      </c>
      <c r="F168" s="20"/>
    </row>
    <row r="169" spans="1:6" ht="18" x14ac:dyDescent="0.25">
      <c r="A169" s="16"/>
      <c r="B169" s="25"/>
      <c r="C169" s="26"/>
      <c r="D169" s="27"/>
      <c r="E169" s="3"/>
      <c r="F169" s="20"/>
    </row>
    <row r="170" spans="1:6" ht="18" x14ac:dyDescent="0.25">
      <c r="A170" s="16">
        <f>SUM(A9:A168)</f>
        <v>2305243436000</v>
      </c>
      <c r="B170" s="15"/>
      <c r="C170" s="28">
        <f>'[1]Weighted Average'!C255/100</f>
        <v>0.14862218448448064</v>
      </c>
      <c r="D170" s="15"/>
      <c r="E170" s="3"/>
    </row>
    <row r="171" spans="1:6" ht="18" x14ac:dyDescent="0.25">
      <c r="A171" s="16"/>
      <c r="B171" s="15"/>
      <c r="C171" s="28"/>
      <c r="D171" s="15"/>
      <c r="E171" s="3"/>
    </row>
    <row r="172" spans="1:6" ht="20.25" x14ac:dyDescent="0.3">
      <c r="A172" s="29" t="s">
        <v>11</v>
      </c>
      <c r="B172" s="15"/>
      <c r="C172" s="28"/>
      <c r="D172" s="15"/>
      <c r="E172" s="3"/>
    </row>
    <row r="173" spans="1:6" ht="15.75" x14ac:dyDescent="0.25">
      <c r="A173" s="30"/>
      <c r="B173" s="4"/>
      <c r="C173" s="5"/>
      <c r="D173" s="4"/>
      <c r="E173" s="3"/>
    </row>
    <row r="174" spans="1:6" ht="15.75" x14ac:dyDescent="0.2">
      <c r="A174" s="31"/>
      <c r="B174" s="31"/>
      <c r="C174" s="31"/>
      <c r="D174" s="31"/>
      <c r="E174" s="31"/>
    </row>
    <row r="175" spans="1:6" ht="20.25" x14ac:dyDescent="0.3">
      <c r="A175" s="6" t="s">
        <v>12</v>
      </c>
      <c r="B175" s="31"/>
      <c r="C175" s="31"/>
      <c r="D175" s="31"/>
      <c r="E175" s="31"/>
    </row>
    <row r="176" spans="1:6" ht="15.75" x14ac:dyDescent="0.2">
      <c r="A176" s="31"/>
      <c r="B176" s="31"/>
      <c r="C176" s="31"/>
      <c r="D176" s="31"/>
      <c r="E176" s="31"/>
    </row>
    <row r="177" spans="1:6" s="15" customFormat="1" ht="18" x14ac:dyDescent="0.25">
      <c r="A177" s="12" t="s">
        <v>2</v>
      </c>
      <c r="B177" s="13" t="s">
        <v>3</v>
      </c>
      <c r="C177" s="13" t="s">
        <v>4</v>
      </c>
      <c r="D177" s="13" t="s">
        <v>5</v>
      </c>
      <c r="E177" s="14" t="s">
        <v>13</v>
      </c>
    </row>
    <row r="178" spans="1:6" s="10" customFormat="1" ht="20.25" x14ac:dyDescent="0.3">
      <c r="A178" s="12"/>
      <c r="B178" s="13"/>
      <c r="C178" s="13"/>
      <c r="D178" s="13"/>
      <c r="E178" s="14"/>
    </row>
    <row r="179" spans="1:6" ht="15.75" x14ac:dyDescent="0.2">
      <c r="A179" s="31"/>
      <c r="B179" s="31"/>
      <c r="C179" s="31"/>
      <c r="D179" s="31"/>
      <c r="E179" s="31"/>
    </row>
    <row r="180" spans="1:6" ht="18" x14ac:dyDescent="0.25">
      <c r="A180" s="16">
        <f>1200000000+2220500000+2802000000+2450000000</f>
        <v>8672500000</v>
      </c>
      <c r="B180" s="17">
        <v>44383</v>
      </c>
      <c r="C180" s="18">
        <v>13.73</v>
      </c>
      <c r="D180" s="17">
        <v>44929</v>
      </c>
      <c r="E180" s="19" t="s">
        <v>7</v>
      </c>
      <c r="F180" s="20"/>
    </row>
    <row r="181" spans="1:6" ht="18" x14ac:dyDescent="0.25">
      <c r="A181" s="16">
        <f>7595000000+2395000000+7443000000+8471000000+3802400000</f>
        <v>29706400000</v>
      </c>
      <c r="B181" s="17">
        <v>44411</v>
      </c>
      <c r="C181" s="18">
        <v>13.68</v>
      </c>
      <c r="D181" s="17">
        <v>44957</v>
      </c>
      <c r="E181" s="19" t="s">
        <v>7</v>
      </c>
      <c r="F181" s="20"/>
    </row>
    <row r="182" spans="1:6" ht="18" x14ac:dyDescent="0.25">
      <c r="A182" s="16">
        <f>5747050000+5933000000+5905000000+2925000000</f>
        <v>20510050000</v>
      </c>
      <c r="B182" s="17">
        <v>44446</v>
      </c>
      <c r="C182" s="18">
        <v>13.561</v>
      </c>
      <c r="D182" s="17">
        <v>44992</v>
      </c>
      <c r="E182" s="19" t="s">
        <v>7</v>
      </c>
      <c r="F182" s="20"/>
    </row>
    <row r="183" spans="1:6" ht="18" x14ac:dyDescent="0.25">
      <c r="A183" s="16">
        <f>1368250000+130000000+69300000+7488650000</f>
        <v>9056200000</v>
      </c>
      <c r="B183" s="17">
        <v>44474</v>
      </c>
      <c r="C183" s="18">
        <v>13.61</v>
      </c>
      <c r="D183" s="17">
        <v>45020</v>
      </c>
      <c r="E183" s="19" t="s">
        <v>7</v>
      </c>
      <c r="F183" s="20"/>
    </row>
    <row r="184" spans="1:6" ht="18" x14ac:dyDescent="0.25">
      <c r="A184" s="16">
        <f>372000000+6331500000+5380200000+28000000+3456600000</f>
        <v>15568300000</v>
      </c>
      <c r="B184" s="17">
        <v>44502</v>
      </c>
      <c r="C184" s="18">
        <v>13.702</v>
      </c>
      <c r="D184" s="17">
        <v>45048</v>
      </c>
      <c r="E184" s="19" t="s">
        <v>7</v>
      </c>
      <c r="F184" s="20"/>
    </row>
    <row r="185" spans="1:6" ht="18" x14ac:dyDescent="0.25">
      <c r="A185" s="16">
        <f>3000000000+1803500000+2262600000+1864750000</f>
        <v>8930850000</v>
      </c>
      <c r="B185" s="17">
        <v>44537</v>
      </c>
      <c r="C185" s="18">
        <v>13.711</v>
      </c>
      <c r="D185" s="17">
        <v>45083</v>
      </c>
      <c r="E185" s="19" t="s">
        <v>7</v>
      </c>
      <c r="F185" s="20"/>
    </row>
    <row r="186" spans="1:6" ht="18.75" customHeight="1" x14ac:dyDescent="0.25">
      <c r="A186" s="16">
        <f>5106000000+14034600000</f>
        <v>19140600000</v>
      </c>
      <c r="B186" s="17">
        <v>44565</v>
      </c>
      <c r="C186" s="18">
        <v>13.718999999999999</v>
      </c>
      <c r="D186" s="17">
        <v>45111</v>
      </c>
      <c r="E186" s="19" t="s">
        <v>7</v>
      </c>
      <c r="F186" s="20"/>
    </row>
    <row r="187" spans="1:6" ht="18.75" customHeight="1" x14ac:dyDescent="0.25">
      <c r="A187" s="16">
        <f>6088500000+7403500000</f>
        <v>13492000000</v>
      </c>
      <c r="B187" s="17">
        <v>44579</v>
      </c>
      <c r="C187" s="18">
        <v>13.718</v>
      </c>
      <c r="D187" s="17">
        <v>45125</v>
      </c>
      <c r="E187" s="19" t="s">
        <v>7</v>
      </c>
      <c r="F187" s="20"/>
    </row>
    <row r="188" spans="1:6" ht="18.75" customHeight="1" x14ac:dyDescent="0.25">
      <c r="A188" s="16">
        <v>18077275000</v>
      </c>
      <c r="B188" s="17">
        <v>44592</v>
      </c>
      <c r="C188" s="18">
        <v>13.715</v>
      </c>
      <c r="D188" s="17">
        <v>45138</v>
      </c>
      <c r="E188" s="19" t="s">
        <v>7</v>
      </c>
      <c r="F188" s="20"/>
    </row>
    <row r="189" spans="1:6" ht="18.75" customHeight="1" x14ac:dyDescent="0.25">
      <c r="A189" s="16">
        <v>3791650000</v>
      </c>
      <c r="B189" s="17">
        <v>44593</v>
      </c>
      <c r="C189" s="18">
        <v>13.714</v>
      </c>
      <c r="D189" s="17">
        <v>45139</v>
      </c>
      <c r="E189" s="19" t="s">
        <v>7</v>
      </c>
      <c r="F189" s="20"/>
    </row>
    <row r="190" spans="1:6" ht="18.75" customHeight="1" x14ac:dyDescent="0.25">
      <c r="A190" s="16">
        <v>18764100000</v>
      </c>
      <c r="B190" s="17">
        <v>44607</v>
      </c>
      <c r="C190" s="18">
        <v>13.718999999999999</v>
      </c>
      <c r="D190" s="17">
        <v>45153</v>
      </c>
      <c r="E190" s="19" t="s">
        <v>7</v>
      </c>
      <c r="F190" s="20"/>
    </row>
    <row r="191" spans="1:6" ht="19.5" customHeight="1" x14ac:dyDescent="0.25">
      <c r="A191" s="16">
        <v>18077275000</v>
      </c>
      <c r="B191" s="17">
        <v>44620</v>
      </c>
      <c r="C191" s="18">
        <v>13.715</v>
      </c>
      <c r="D191" s="17">
        <v>45166</v>
      </c>
      <c r="E191" s="19" t="s">
        <v>7</v>
      </c>
      <c r="F191" s="20"/>
    </row>
    <row r="192" spans="1:6" ht="19.5" customHeight="1" x14ac:dyDescent="0.25">
      <c r="A192" s="16">
        <f>205250000+400100000</f>
        <v>605350000</v>
      </c>
      <c r="B192" s="17">
        <v>44621</v>
      </c>
      <c r="C192" s="18">
        <v>13.714</v>
      </c>
      <c r="D192" s="17">
        <v>45167</v>
      </c>
      <c r="E192" s="19" t="s">
        <v>7</v>
      </c>
      <c r="F192" s="20"/>
    </row>
    <row r="193" spans="1:6" ht="19.5" customHeight="1" x14ac:dyDescent="0.25">
      <c r="A193" s="16">
        <f>3000000</f>
        <v>3000000</v>
      </c>
      <c r="B193" s="17">
        <v>44635</v>
      </c>
      <c r="C193" s="18">
        <v>13.72</v>
      </c>
      <c r="D193" s="17">
        <v>45181</v>
      </c>
      <c r="E193" s="19" t="s">
        <v>7</v>
      </c>
      <c r="F193" s="20"/>
    </row>
    <row r="194" spans="1:6" ht="19.5" customHeight="1" x14ac:dyDescent="0.25">
      <c r="A194" s="16">
        <f>1000000000</f>
        <v>1000000000</v>
      </c>
      <c r="B194" s="17">
        <v>44649</v>
      </c>
      <c r="C194" s="18">
        <v>13.781000000000001</v>
      </c>
      <c r="D194" s="17">
        <v>45195</v>
      </c>
      <c r="E194" s="19" t="s">
        <v>7</v>
      </c>
      <c r="F194" s="20"/>
    </row>
    <row r="195" spans="1:6" ht="19.5" customHeight="1" x14ac:dyDescent="0.25">
      <c r="A195" s="16">
        <v>18091893000</v>
      </c>
      <c r="B195" s="17">
        <v>44651</v>
      </c>
      <c r="C195" s="18">
        <v>13.781000000000001</v>
      </c>
      <c r="D195" s="17">
        <v>45197</v>
      </c>
      <c r="E195" s="19" t="s">
        <v>7</v>
      </c>
      <c r="F195" s="20"/>
    </row>
    <row r="196" spans="1:6" ht="19.5" customHeight="1" x14ac:dyDescent="0.25">
      <c r="A196" s="16">
        <v>1762200000</v>
      </c>
      <c r="B196" s="17">
        <v>44656</v>
      </c>
      <c r="C196" s="18">
        <v>13.952999999999999</v>
      </c>
      <c r="D196" s="17">
        <v>45202</v>
      </c>
      <c r="E196" s="19" t="s">
        <v>7</v>
      </c>
      <c r="F196" s="20"/>
    </row>
    <row r="197" spans="1:6" ht="19.5" customHeight="1" x14ac:dyDescent="0.25">
      <c r="A197" s="16">
        <v>28300000</v>
      </c>
      <c r="B197" s="17">
        <v>44670</v>
      </c>
      <c r="C197" s="18">
        <v>13.994</v>
      </c>
      <c r="D197" s="17">
        <v>45216</v>
      </c>
      <c r="E197" s="19" t="s">
        <v>7</v>
      </c>
      <c r="F197" s="20"/>
    </row>
    <row r="198" spans="1:6" ht="19.5" customHeight="1" x14ac:dyDescent="0.25">
      <c r="A198" s="16">
        <v>428095000</v>
      </c>
      <c r="B198" s="17">
        <v>44847</v>
      </c>
      <c r="C198" s="18">
        <v>17.702000000000002</v>
      </c>
      <c r="D198" s="17">
        <v>45243</v>
      </c>
      <c r="E198" s="19" t="s">
        <v>7</v>
      </c>
      <c r="F198" s="20"/>
    </row>
    <row r="199" spans="1:6" ht="19.5" customHeight="1" x14ac:dyDescent="0.25">
      <c r="A199" s="16">
        <v>428393000</v>
      </c>
      <c r="B199" s="17">
        <v>44857</v>
      </c>
      <c r="C199" s="18">
        <v>17.977</v>
      </c>
      <c r="D199" s="17">
        <v>45253</v>
      </c>
      <c r="E199" s="19" t="s">
        <v>7</v>
      </c>
      <c r="F199" s="20"/>
    </row>
    <row r="200" spans="1:6" ht="19.5" customHeight="1" x14ac:dyDescent="0.25">
      <c r="A200" s="16">
        <v>1528945000</v>
      </c>
      <c r="B200" s="17">
        <v>44861</v>
      </c>
      <c r="C200" s="18">
        <v>18.001000000000001</v>
      </c>
      <c r="D200" s="17">
        <v>45257</v>
      </c>
      <c r="E200" s="19" t="s">
        <v>7</v>
      </c>
      <c r="F200" s="20"/>
    </row>
    <row r="201" spans="1:6" ht="19.5" customHeight="1" x14ac:dyDescent="0.25">
      <c r="A201" s="16">
        <f>6088250000</f>
        <v>6088250000</v>
      </c>
      <c r="B201" s="17">
        <v>44712</v>
      </c>
      <c r="C201" s="18">
        <v>13.994</v>
      </c>
      <c r="D201" s="17">
        <v>45258</v>
      </c>
      <c r="E201" s="19" t="s">
        <v>7</v>
      </c>
      <c r="F201" s="20"/>
    </row>
    <row r="202" spans="1:6" ht="19.5" customHeight="1" x14ac:dyDescent="0.25">
      <c r="A202" s="16">
        <v>1067878000</v>
      </c>
      <c r="B202" s="17">
        <v>44864</v>
      </c>
      <c r="C202" s="18">
        <v>18.001000000000001</v>
      </c>
      <c r="D202" s="17">
        <v>45260</v>
      </c>
      <c r="E202" s="19" t="s">
        <v>7</v>
      </c>
      <c r="F202" s="20"/>
    </row>
    <row r="203" spans="1:6" ht="19.5" customHeight="1" x14ac:dyDescent="0.25">
      <c r="A203" s="16">
        <v>2347305000</v>
      </c>
      <c r="B203" s="17">
        <v>44865</v>
      </c>
      <c r="C203" s="18">
        <v>18.001000000000001</v>
      </c>
      <c r="D203" s="17">
        <v>45261</v>
      </c>
      <c r="E203" s="19" t="s">
        <v>7</v>
      </c>
      <c r="F203" s="20"/>
    </row>
    <row r="204" spans="1:6" ht="19.5" customHeight="1" x14ac:dyDescent="0.25">
      <c r="A204" s="16">
        <v>385000000</v>
      </c>
      <c r="B204" s="17">
        <v>44747</v>
      </c>
      <c r="C204" s="18">
        <v>15.5</v>
      </c>
      <c r="D204" s="17">
        <v>45293</v>
      </c>
      <c r="E204" s="19" t="s">
        <v>7</v>
      </c>
      <c r="F204" s="20"/>
    </row>
    <row r="205" spans="1:6" ht="19.5" customHeight="1" x14ac:dyDescent="0.25">
      <c r="A205" s="16">
        <v>13125000000</v>
      </c>
      <c r="B205" s="17">
        <v>44789</v>
      </c>
      <c r="C205" s="18">
        <v>17.25</v>
      </c>
      <c r="D205" s="17">
        <v>45335</v>
      </c>
      <c r="E205" s="19" t="s">
        <v>7</v>
      </c>
      <c r="F205" s="20"/>
    </row>
    <row r="206" spans="1:6" ht="19.5" customHeight="1" x14ac:dyDescent="0.25">
      <c r="A206" s="16">
        <f>6855000000+1431000000</f>
        <v>8286000000</v>
      </c>
      <c r="B206" s="17">
        <v>44803</v>
      </c>
      <c r="C206" s="18">
        <v>17.25</v>
      </c>
      <c r="D206" s="17">
        <v>45349</v>
      </c>
      <c r="E206" s="19" t="s">
        <v>7</v>
      </c>
      <c r="F206" s="20"/>
    </row>
    <row r="207" spans="1:6" ht="19.5" customHeight="1" x14ac:dyDescent="0.25">
      <c r="A207" s="16">
        <f>30363300000+2000000</f>
        <v>30365300000</v>
      </c>
      <c r="B207" s="17">
        <v>44817</v>
      </c>
      <c r="C207" s="18">
        <v>17.725000000000001</v>
      </c>
      <c r="D207" s="17">
        <v>45363</v>
      </c>
      <c r="E207" s="19" t="s">
        <v>7</v>
      </c>
      <c r="F207" s="20"/>
    </row>
    <row r="208" spans="1:6" ht="19.5" customHeight="1" x14ac:dyDescent="0.25">
      <c r="A208" s="16">
        <v>2180500000</v>
      </c>
      <c r="B208" s="17">
        <v>44831</v>
      </c>
      <c r="C208" s="18">
        <v>17.335000000000001</v>
      </c>
      <c r="D208" s="17">
        <v>45377</v>
      </c>
      <c r="E208" s="19" t="s">
        <v>7</v>
      </c>
      <c r="F208" s="20"/>
    </row>
    <row r="209" spans="1:6" ht="19.5" customHeight="1" x14ac:dyDescent="0.25">
      <c r="A209" s="16">
        <v>4023000000</v>
      </c>
      <c r="B209" s="17">
        <v>44838</v>
      </c>
      <c r="C209" s="18">
        <v>17.338000000000001</v>
      </c>
      <c r="D209" s="17">
        <v>45384</v>
      </c>
      <c r="E209" s="19" t="s">
        <v>7</v>
      </c>
      <c r="F209" s="20"/>
    </row>
    <row r="210" spans="1:6" ht="19.5" customHeight="1" x14ac:dyDescent="0.25">
      <c r="A210" s="16">
        <v>610000</v>
      </c>
      <c r="B210" s="17">
        <v>44859</v>
      </c>
      <c r="C210" s="18">
        <v>17.36</v>
      </c>
      <c r="D210" s="17">
        <v>45405</v>
      </c>
      <c r="E210" s="19" t="s">
        <v>7</v>
      </c>
      <c r="F210" s="20"/>
    </row>
    <row r="211" spans="1:6" ht="18.75" customHeight="1" x14ac:dyDescent="0.25">
      <c r="A211" s="16"/>
      <c r="B211" s="17"/>
      <c r="C211" s="18"/>
      <c r="D211" s="17"/>
      <c r="E211" s="19"/>
      <c r="F211" s="20"/>
    </row>
    <row r="212" spans="1:6" ht="18" x14ac:dyDescent="0.25">
      <c r="A212" s="16">
        <f>SUM(A180:A210)</f>
        <v>275532219000</v>
      </c>
      <c r="B212" s="31"/>
      <c r="C212" s="32">
        <f>'[1]Weighted Average'!C335</f>
        <v>14.549698032454057</v>
      </c>
      <c r="D212" s="31"/>
      <c r="E212" s="31"/>
    </row>
    <row r="213" spans="1:6" ht="15.75" x14ac:dyDescent="0.2">
      <c r="A213" s="31"/>
      <c r="B213" s="31"/>
      <c r="C213" s="31"/>
      <c r="D213" s="31"/>
      <c r="E213" s="31"/>
    </row>
    <row r="214" spans="1:6" ht="15.75" x14ac:dyDescent="0.2">
      <c r="A214" s="31"/>
      <c r="B214" s="31"/>
      <c r="C214" s="31"/>
      <c r="D214" s="31"/>
      <c r="E214" s="31"/>
    </row>
    <row r="215" spans="1:6" ht="20.25" x14ac:dyDescent="0.3">
      <c r="A215" s="33" t="s">
        <v>14</v>
      </c>
      <c r="B215" s="33"/>
      <c r="C215" s="5"/>
      <c r="D215" s="4"/>
      <c r="E215" s="3"/>
    </row>
    <row r="216" spans="1:6" ht="20.25" x14ac:dyDescent="0.3">
      <c r="A216" s="11"/>
      <c r="B216" s="4"/>
      <c r="C216" s="5"/>
      <c r="D216" s="4"/>
      <c r="E216" s="3"/>
    </row>
    <row r="217" spans="1:6" ht="12.75" customHeight="1" x14ac:dyDescent="0.2">
      <c r="A217" s="34" t="s">
        <v>2</v>
      </c>
      <c r="B217" s="13" t="s">
        <v>3</v>
      </c>
      <c r="C217" s="13" t="s">
        <v>4</v>
      </c>
      <c r="D217" s="13" t="s">
        <v>5</v>
      </c>
      <c r="E217" s="14" t="s">
        <v>15</v>
      </c>
    </row>
    <row r="218" spans="1:6" ht="27" customHeight="1" x14ac:dyDescent="0.2">
      <c r="A218" s="34"/>
      <c r="B218" s="13"/>
      <c r="C218" s="13"/>
      <c r="D218" s="13"/>
      <c r="E218" s="14"/>
    </row>
    <row r="219" spans="1:6" ht="15.75" x14ac:dyDescent="0.25">
      <c r="A219" s="30"/>
      <c r="B219" s="4"/>
      <c r="C219" s="5"/>
      <c r="D219" s="4"/>
      <c r="E219" s="3"/>
    </row>
    <row r="220" spans="1:6" ht="18" x14ac:dyDescent="0.25">
      <c r="A220" s="16">
        <v>1250000000</v>
      </c>
      <c r="B220" s="17">
        <v>43152</v>
      </c>
      <c r="C220" s="35">
        <v>5.577</v>
      </c>
      <c r="D220" s="17">
        <v>44978</v>
      </c>
      <c r="E220" s="19" t="s">
        <v>16</v>
      </c>
    </row>
    <row r="221" spans="1:6" ht="18" x14ac:dyDescent="0.25">
      <c r="A221" s="16">
        <v>500000000</v>
      </c>
      <c r="B221" s="17">
        <v>43789</v>
      </c>
      <c r="C221" s="35">
        <v>4.55</v>
      </c>
      <c r="D221" s="17">
        <v>45250</v>
      </c>
      <c r="E221" s="19" t="s">
        <v>17</v>
      </c>
    </row>
    <row r="222" spans="1:6" ht="18" x14ac:dyDescent="0.25">
      <c r="A222" s="16">
        <v>750000000</v>
      </c>
      <c r="B222" s="17">
        <v>43522</v>
      </c>
      <c r="C222" s="35">
        <v>6.2004000000000001</v>
      </c>
      <c r="D222" s="17">
        <v>45352</v>
      </c>
      <c r="E222" s="19" t="s">
        <v>18</v>
      </c>
    </row>
    <row r="223" spans="1:6" ht="18" x14ac:dyDescent="0.25">
      <c r="A223" s="16">
        <v>1250000000</v>
      </c>
      <c r="B223" s="17">
        <v>43980</v>
      </c>
      <c r="C223" s="35">
        <v>5.75</v>
      </c>
      <c r="D223" s="17">
        <v>45441</v>
      </c>
      <c r="E223" s="19" t="s">
        <v>17</v>
      </c>
    </row>
    <row r="224" spans="1:6" ht="18" x14ac:dyDescent="0.25">
      <c r="A224" s="16">
        <v>1320000000</v>
      </c>
      <c r="B224" s="17">
        <v>42684</v>
      </c>
      <c r="C224" s="35">
        <v>6.75</v>
      </c>
      <c r="D224" s="17">
        <v>45606</v>
      </c>
      <c r="E224" s="19" t="s">
        <v>19</v>
      </c>
    </row>
    <row r="225" spans="1:5" ht="18" x14ac:dyDescent="0.25">
      <c r="A225" s="16">
        <v>1500000000</v>
      </c>
      <c r="B225" s="17">
        <v>42166</v>
      </c>
      <c r="C225" s="35">
        <v>5.875</v>
      </c>
      <c r="D225" s="17">
        <v>45819</v>
      </c>
      <c r="E225" s="19" t="s">
        <v>8</v>
      </c>
    </row>
    <row r="226" spans="1:5" ht="18" x14ac:dyDescent="0.25">
      <c r="A226" s="36">
        <v>750000000</v>
      </c>
      <c r="B226" s="37">
        <v>44110</v>
      </c>
      <c r="C226" s="38">
        <v>5.25</v>
      </c>
      <c r="D226" s="37">
        <v>45936</v>
      </c>
      <c r="E226" s="39" t="s">
        <v>17</v>
      </c>
    </row>
    <row r="227" spans="1:5" ht="18" x14ac:dyDescent="0.25">
      <c r="A227" s="16">
        <v>750000000</v>
      </c>
      <c r="B227" s="17">
        <v>44243</v>
      </c>
      <c r="C227" s="35">
        <v>3.875</v>
      </c>
      <c r="D227" s="17">
        <v>46069</v>
      </c>
      <c r="E227" s="19" t="s">
        <v>17</v>
      </c>
    </row>
    <row r="228" spans="1:5" ht="18" x14ac:dyDescent="0.25">
      <c r="A228" s="16">
        <v>860000000</v>
      </c>
      <c r="B228" s="17">
        <v>43423</v>
      </c>
      <c r="C228" s="35">
        <v>7.125</v>
      </c>
      <c r="D228" s="17">
        <v>46336</v>
      </c>
      <c r="E228" s="19" t="s">
        <v>18</v>
      </c>
    </row>
    <row r="229" spans="1:5" ht="18" x14ac:dyDescent="0.25">
      <c r="A229" s="16">
        <v>1000000000</v>
      </c>
      <c r="B229" s="17">
        <v>42766</v>
      </c>
      <c r="C229" s="35">
        <v>7.5</v>
      </c>
      <c r="D229" s="17">
        <v>46418</v>
      </c>
      <c r="E229" s="19" t="s">
        <v>20</v>
      </c>
    </row>
    <row r="230" spans="1:5" ht="18" x14ac:dyDescent="0.25">
      <c r="A230" s="16">
        <v>1000000000</v>
      </c>
      <c r="B230" s="17">
        <v>42884</v>
      </c>
      <c r="C230" s="35">
        <v>7.5</v>
      </c>
      <c r="D230" s="17">
        <v>46418</v>
      </c>
      <c r="E230" s="19" t="s">
        <v>20</v>
      </c>
    </row>
    <row r="231" spans="1:5" ht="18" x14ac:dyDescent="0.25">
      <c r="A231" s="16">
        <v>1125000000</v>
      </c>
      <c r="B231" s="17">
        <v>44469</v>
      </c>
      <c r="C231" s="35">
        <v>5.8</v>
      </c>
      <c r="D231" s="17">
        <v>46660</v>
      </c>
      <c r="E231" s="19" t="s">
        <v>17</v>
      </c>
    </row>
    <row r="232" spans="1:5" ht="18" x14ac:dyDescent="0.25">
      <c r="A232" s="16">
        <v>1250000000</v>
      </c>
      <c r="B232" s="17">
        <v>43152</v>
      </c>
      <c r="C232" s="35">
        <v>6.5880000000000001</v>
      </c>
      <c r="D232" s="17">
        <v>46804</v>
      </c>
      <c r="E232" s="19" t="s">
        <v>16</v>
      </c>
    </row>
    <row r="233" spans="1:5" ht="18" x14ac:dyDescent="0.25">
      <c r="A233" s="16">
        <v>1320000000</v>
      </c>
      <c r="B233" s="17">
        <v>42684</v>
      </c>
      <c r="C233" s="35">
        <v>7</v>
      </c>
      <c r="D233" s="17">
        <v>47067</v>
      </c>
      <c r="E233" s="19" t="s">
        <v>19</v>
      </c>
    </row>
    <row r="234" spans="1:5" ht="18" x14ac:dyDescent="0.25">
      <c r="A234" s="16">
        <v>1750000000</v>
      </c>
      <c r="B234" s="17">
        <v>43522</v>
      </c>
      <c r="C234" s="35">
        <v>7.6002999999999998</v>
      </c>
      <c r="D234" s="17">
        <v>47178</v>
      </c>
      <c r="E234" s="19" t="s">
        <v>18</v>
      </c>
    </row>
    <row r="235" spans="1:5" ht="18" x14ac:dyDescent="0.25">
      <c r="A235" s="16">
        <v>1710000000</v>
      </c>
      <c r="B235" s="17">
        <v>43423</v>
      </c>
      <c r="C235" s="35">
        <v>7.625</v>
      </c>
      <c r="D235" s="17">
        <v>47797</v>
      </c>
      <c r="E235" s="19" t="s">
        <v>18</v>
      </c>
    </row>
    <row r="236" spans="1:5" ht="18" x14ac:dyDescent="0.25">
      <c r="A236" s="16">
        <v>1500000000</v>
      </c>
      <c r="B236" s="17">
        <v>44243</v>
      </c>
      <c r="C236" s="35">
        <v>5.875</v>
      </c>
      <c r="D236" s="17">
        <v>47895</v>
      </c>
      <c r="E236" s="19" t="s">
        <v>17</v>
      </c>
    </row>
    <row r="237" spans="1:5" ht="18" x14ac:dyDescent="0.25">
      <c r="A237" s="16">
        <v>1000000000</v>
      </c>
      <c r="B237" s="17">
        <v>43789</v>
      </c>
      <c r="C237" s="35">
        <v>7.0529999999999999</v>
      </c>
      <c r="D237" s="17">
        <v>48228</v>
      </c>
      <c r="E237" s="19" t="s">
        <v>17</v>
      </c>
    </row>
    <row r="238" spans="1:5" ht="18" x14ac:dyDescent="0.25">
      <c r="A238" s="16">
        <v>1750000000</v>
      </c>
      <c r="B238" s="17">
        <v>43980</v>
      </c>
      <c r="C238" s="35">
        <v>7.625</v>
      </c>
      <c r="D238" s="17">
        <v>48363</v>
      </c>
      <c r="E238" s="19" t="s">
        <v>17</v>
      </c>
    </row>
    <row r="239" spans="1:5" ht="18" x14ac:dyDescent="0.25">
      <c r="A239" s="16">
        <v>1125000000</v>
      </c>
      <c r="B239" s="17">
        <v>44469</v>
      </c>
      <c r="C239" s="35">
        <v>7.3</v>
      </c>
      <c r="D239" s="17">
        <v>48852</v>
      </c>
      <c r="E239" s="19" t="s">
        <v>17</v>
      </c>
    </row>
    <row r="240" spans="1:5" ht="18" x14ac:dyDescent="0.25">
      <c r="A240" s="16">
        <v>500000000</v>
      </c>
      <c r="B240" s="17">
        <v>40298</v>
      </c>
      <c r="C240" s="35">
        <v>6.875</v>
      </c>
      <c r="D240" s="17">
        <v>51256</v>
      </c>
      <c r="E240" s="19" t="s">
        <v>21</v>
      </c>
    </row>
    <row r="241" spans="1:5" ht="18" x14ac:dyDescent="0.25">
      <c r="A241" s="16">
        <v>1250000000</v>
      </c>
      <c r="B241" s="17">
        <v>42766</v>
      </c>
      <c r="C241" s="35">
        <v>8.5</v>
      </c>
      <c r="D241" s="17">
        <v>53723</v>
      </c>
      <c r="E241" s="19" t="s">
        <v>20</v>
      </c>
    </row>
    <row r="242" spans="1:5" ht="18" x14ac:dyDescent="0.25">
      <c r="A242" s="16">
        <v>1250000000</v>
      </c>
      <c r="B242" s="17">
        <v>42884</v>
      </c>
      <c r="C242" s="35">
        <v>8.5</v>
      </c>
      <c r="D242" s="17">
        <v>53723</v>
      </c>
      <c r="E242" s="19" t="s">
        <v>20</v>
      </c>
    </row>
    <row r="243" spans="1:5" ht="18" x14ac:dyDescent="0.25">
      <c r="A243" s="16">
        <v>1500000000</v>
      </c>
      <c r="B243" s="17">
        <v>43152</v>
      </c>
      <c r="C243" s="35">
        <v>7.9029999999999996</v>
      </c>
      <c r="D243" s="17">
        <v>54109</v>
      </c>
      <c r="E243" s="19" t="s">
        <v>16</v>
      </c>
    </row>
    <row r="244" spans="1:5" ht="18" x14ac:dyDescent="0.25">
      <c r="A244" s="16">
        <v>1500000000</v>
      </c>
      <c r="B244" s="17">
        <v>43522</v>
      </c>
      <c r="C244" s="35">
        <v>8.7002000000000006</v>
      </c>
      <c r="D244" s="17">
        <v>54483</v>
      </c>
      <c r="E244" s="19" t="s">
        <v>18</v>
      </c>
    </row>
    <row r="245" spans="1:5" ht="18" x14ac:dyDescent="0.25">
      <c r="A245" s="16">
        <f>2000000000</f>
        <v>2000000000</v>
      </c>
      <c r="B245" s="17">
        <v>43980</v>
      </c>
      <c r="C245" s="35">
        <v>8.875</v>
      </c>
      <c r="D245" s="17">
        <v>54937</v>
      </c>
      <c r="E245" s="19" t="s">
        <v>17</v>
      </c>
    </row>
    <row r="246" spans="1:5" ht="18" x14ac:dyDescent="0.25">
      <c r="A246" s="16">
        <v>750000000</v>
      </c>
      <c r="B246" s="17">
        <v>44469</v>
      </c>
      <c r="C246" s="35">
        <v>8.75</v>
      </c>
      <c r="D246" s="17">
        <v>55426</v>
      </c>
      <c r="E246" s="19" t="s">
        <v>17</v>
      </c>
    </row>
    <row r="247" spans="1:5" ht="18" x14ac:dyDescent="0.25">
      <c r="A247" s="16">
        <v>500000000</v>
      </c>
      <c r="B247" s="17">
        <v>43789</v>
      </c>
      <c r="C247" s="35">
        <v>8.15</v>
      </c>
      <c r="D247" s="17">
        <v>58399</v>
      </c>
      <c r="E247" s="19" t="s">
        <v>17</v>
      </c>
    </row>
    <row r="248" spans="1:5" ht="18" x14ac:dyDescent="0.25">
      <c r="A248" s="16">
        <v>1500000000</v>
      </c>
      <c r="B248" s="17">
        <v>44243</v>
      </c>
      <c r="C248" s="35">
        <v>7.5</v>
      </c>
      <c r="D248" s="17">
        <v>58853</v>
      </c>
      <c r="E248" s="19" t="s">
        <v>17</v>
      </c>
    </row>
    <row r="249" spans="1:5" ht="18" x14ac:dyDescent="0.25">
      <c r="A249" s="40"/>
      <c r="B249" s="41"/>
      <c r="C249" s="26"/>
      <c r="D249" s="27"/>
      <c r="E249" s="3"/>
    </row>
    <row r="250" spans="1:5" ht="18" x14ac:dyDescent="0.25">
      <c r="A250" s="16">
        <f>SUM(A220:A248)</f>
        <v>34210000000</v>
      </c>
      <c r="B250" s="41"/>
      <c r="C250" s="28">
        <f>'[1]Weighted Average'!C388/100</f>
        <v>7.1256540485238232E-2</v>
      </c>
      <c r="D250" s="27"/>
      <c r="E250" s="3"/>
    </row>
    <row r="251" spans="1:5" ht="18" x14ac:dyDescent="0.25">
      <c r="A251" s="16"/>
      <c r="B251" s="41"/>
      <c r="C251" s="28"/>
      <c r="D251" s="27"/>
      <c r="E251" s="3"/>
    </row>
    <row r="252" spans="1:5" ht="15.75" x14ac:dyDescent="0.2">
      <c r="A252" s="31" t="s">
        <v>22</v>
      </c>
      <c r="B252" s="31"/>
      <c r="C252" s="31"/>
      <c r="D252" s="31"/>
      <c r="E252" s="31"/>
    </row>
    <row r="253" spans="1:5" ht="15.75" customHeight="1" x14ac:dyDescent="0.2">
      <c r="A253" s="31" t="s">
        <v>23</v>
      </c>
    </row>
    <row r="254" spans="1:5" ht="15.75" x14ac:dyDescent="0.2">
      <c r="A254" s="31" t="s">
        <v>24</v>
      </c>
    </row>
    <row r="255" spans="1:5" ht="15.75" x14ac:dyDescent="0.25">
      <c r="A255" s="42" t="s">
        <v>25</v>
      </c>
    </row>
    <row r="258" spans="1:5" ht="20.25" x14ac:dyDescent="0.3">
      <c r="A258" s="43" t="s">
        <v>26</v>
      </c>
      <c r="B258" s="44"/>
      <c r="C258" s="5"/>
      <c r="D258" s="4"/>
      <c r="E258" s="3"/>
    </row>
    <row r="259" spans="1:5" ht="20.25" x14ac:dyDescent="0.3">
      <c r="A259" s="11"/>
      <c r="B259" s="4"/>
      <c r="C259" s="5"/>
      <c r="D259" s="4"/>
      <c r="E259" s="3"/>
    </row>
    <row r="260" spans="1:5" ht="12.75" customHeight="1" x14ac:dyDescent="0.2">
      <c r="A260" s="34" t="s">
        <v>2</v>
      </c>
      <c r="B260" s="13" t="s">
        <v>3</v>
      </c>
      <c r="C260" s="13" t="s">
        <v>4</v>
      </c>
      <c r="D260" s="13" t="s">
        <v>5</v>
      </c>
      <c r="E260" s="14" t="s">
        <v>27</v>
      </c>
    </row>
    <row r="261" spans="1:5" ht="27" customHeight="1" x14ac:dyDescent="0.2">
      <c r="A261" s="34"/>
      <c r="B261" s="13"/>
      <c r="C261" s="13"/>
      <c r="D261" s="13"/>
      <c r="E261" s="14"/>
    </row>
    <row r="262" spans="1:5" ht="18" x14ac:dyDescent="0.25">
      <c r="A262" s="16"/>
      <c r="B262" s="17"/>
      <c r="C262" s="18"/>
      <c r="D262" s="17"/>
      <c r="E262" s="19"/>
    </row>
    <row r="263" spans="1:5" ht="18" x14ac:dyDescent="0.25">
      <c r="A263" s="16">
        <v>750000000</v>
      </c>
      <c r="B263" s="17">
        <v>43566</v>
      </c>
      <c r="C263" s="18">
        <v>4.75</v>
      </c>
      <c r="D263" s="17">
        <v>45758</v>
      </c>
      <c r="E263" s="19" t="s">
        <v>28</v>
      </c>
    </row>
    <row r="264" spans="1:5" ht="18" x14ac:dyDescent="0.25">
      <c r="A264" s="16">
        <v>1000000000</v>
      </c>
      <c r="B264" s="17">
        <v>43206</v>
      </c>
      <c r="C264" s="18">
        <v>4.75</v>
      </c>
      <c r="D264" s="17">
        <v>46128</v>
      </c>
      <c r="E264" s="19" t="s">
        <v>29</v>
      </c>
    </row>
    <row r="265" spans="1:5" ht="18" x14ac:dyDescent="0.25">
      <c r="A265" s="16">
        <v>1000000000</v>
      </c>
      <c r="B265" s="17">
        <v>43206</v>
      </c>
      <c r="C265" s="18">
        <v>5.625</v>
      </c>
      <c r="D265" s="17">
        <v>47589</v>
      </c>
      <c r="E265" s="19" t="s">
        <v>29</v>
      </c>
    </row>
    <row r="266" spans="1:5" ht="18" x14ac:dyDescent="0.25">
      <c r="A266" s="16">
        <v>1250000000</v>
      </c>
      <c r="B266" s="17">
        <v>43566</v>
      </c>
      <c r="C266" s="18">
        <v>6.375</v>
      </c>
      <c r="D266" s="17">
        <v>47949</v>
      </c>
      <c r="E266" s="19" t="s">
        <v>28</v>
      </c>
    </row>
    <row r="268" spans="1:5" ht="18" x14ac:dyDescent="0.25">
      <c r="A268" s="16">
        <f>SUM(A263:A267)</f>
        <v>4000000000</v>
      </c>
      <c r="B268" s="41"/>
      <c r="C268" s="28">
        <f>'[1]Weighted Average'!C409/100</f>
        <v>5.4765624999999998E-2</v>
      </c>
      <c r="D268" s="27"/>
      <c r="E268" s="3"/>
    </row>
    <row r="270" spans="1:5" customFormat="1" ht="15.75" x14ac:dyDescent="0.25">
      <c r="A270" s="31" t="s">
        <v>30</v>
      </c>
    </row>
    <row r="271" spans="1:5" customFormat="1" ht="15.75" x14ac:dyDescent="0.25">
      <c r="A271" s="31" t="s">
        <v>31</v>
      </c>
    </row>
    <row r="274" spans="1:5" ht="20.25" x14ac:dyDescent="0.3">
      <c r="A274" s="43" t="s">
        <v>32</v>
      </c>
      <c r="B274" s="44"/>
      <c r="C274" s="5"/>
      <c r="D274" s="4"/>
      <c r="E274" s="3"/>
    </row>
    <row r="275" spans="1:5" ht="20.25" x14ac:dyDescent="0.3">
      <c r="A275" s="11"/>
      <c r="B275" s="4"/>
      <c r="C275" s="5"/>
      <c r="D275" s="4"/>
      <c r="E275" s="3"/>
    </row>
    <row r="276" spans="1:5" ht="12.75" customHeight="1" x14ac:dyDescent="0.2">
      <c r="A276" s="34" t="s">
        <v>2</v>
      </c>
      <c r="B276" s="13" t="s">
        <v>3</v>
      </c>
      <c r="C276" s="13" t="s">
        <v>4</v>
      </c>
      <c r="D276" s="13" t="s">
        <v>5</v>
      </c>
      <c r="E276" s="14" t="s">
        <v>27</v>
      </c>
    </row>
    <row r="277" spans="1:5" ht="27" customHeight="1" x14ac:dyDescent="0.2">
      <c r="A277" s="34"/>
      <c r="B277" s="13"/>
      <c r="C277" s="13"/>
      <c r="D277" s="13"/>
      <c r="E277" s="14"/>
    </row>
    <row r="278" spans="1:5" ht="18" x14ac:dyDescent="0.25">
      <c r="A278" s="16"/>
      <c r="B278" s="17"/>
      <c r="C278" s="18"/>
      <c r="D278" s="17"/>
      <c r="E278" s="19"/>
    </row>
    <row r="279" spans="1:5" ht="15.75" x14ac:dyDescent="0.25">
      <c r="A279" s="30">
        <v>60000000000</v>
      </c>
      <c r="B279" s="45">
        <v>44651</v>
      </c>
      <c r="C279" s="46">
        <v>0.85</v>
      </c>
      <c r="D279" s="45">
        <v>46477</v>
      </c>
      <c r="E279" s="19" t="s">
        <v>33</v>
      </c>
    </row>
    <row r="281" spans="1:5" ht="18" x14ac:dyDescent="0.25">
      <c r="A281" s="16">
        <f>SUM(A279:A280)</f>
        <v>60000000000</v>
      </c>
      <c r="B281" s="41"/>
      <c r="C281" s="28">
        <f>'[1]Weighted Average'!C426/100</f>
        <v>8.5000000000000006E-3</v>
      </c>
      <c r="D281" s="27"/>
      <c r="E281" s="3"/>
    </row>
    <row r="283" spans="1:5" customFormat="1" ht="15.75" x14ac:dyDescent="0.25">
      <c r="A283" s="31" t="s">
        <v>34</v>
      </c>
    </row>
    <row r="284" spans="1:5" customFormat="1" ht="15.75" x14ac:dyDescent="0.25">
      <c r="A284" s="31"/>
    </row>
  </sheetData>
  <mergeCells count="27">
    <mergeCell ref="A276:A277"/>
    <mergeCell ref="B276:B277"/>
    <mergeCell ref="C276:C277"/>
    <mergeCell ref="D276:D277"/>
    <mergeCell ref="E276:E277"/>
    <mergeCell ref="A217:A218"/>
    <mergeCell ref="B217:B218"/>
    <mergeCell ref="C217:C218"/>
    <mergeCell ref="D217:D218"/>
    <mergeCell ref="E217:E218"/>
    <mergeCell ref="A260:A261"/>
    <mergeCell ref="B260:B261"/>
    <mergeCell ref="C260:C261"/>
    <mergeCell ref="D260:D261"/>
    <mergeCell ref="E260:E261"/>
    <mergeCell ref="A177:A178"/>
    <mergeCell ref="B177:B178"/>
    <mergeCell ref="C177:C178"/>
    <mergeCell ref="D177:D178"/>
    <mergeCell ref="E177:E178"/>
    <mergeCell ref="A215:B215"/>
    <mergeCell ref="A3:E3"/>
    <mergeCell ref="A7:A8"/>
    <mergeCell ref="B7:B8"/>
    <mergeCell ref="C7:C8"/>
    <mergeCell ref="D7:D8"/>
    <mergeCell ref="E7:E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2022-11-21T09:55:05Z</dcterms:created>
  <dcterms:modified xsi:type="dcterms:W3CDTF">2022-11-21T09:56:02Z</dcterms:modified>
</cp:coreProperties>
</file>