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 Outstanding\"/>
    </mc:Choice>
  </mc:AlternateContent>
  <xr:revisionPtr revIDLastSave="0" documentId="13_ncr:1_{55A0F870-54C9-4AAA-BB6D-0D5E9A61B460}" xr6:coauthVersionLast="45" xr6:coauthVersionMax="45" xr10:uidLastSave="{00000000-0000-0000-0000-000000000000}"/>
  <bookViews>
    <workbookView xWindow="-120" yWindow="-120" windowWidth="29040" windowHeight="15840" xr2:uid="{63C04409-BB3F-4AEC-882B-D48BABDBA951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0" i="1" l="1"/>
  <c r="A160" i="1"/>
  <c r="C144" i="1"/>
  <c r="A144" i="1"/>
  <c r="A141" i="1"/>
  <c r="A121" i="1"/>
  <c r="A112" i="1"/>
  <c r="A110" i="1"/>
  <c r="C104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04" i="1" s="1"/>
  <c r="A12" i="1"/>
  <c r="A11" i="1"/>
  <c r="A10" i="1"/>
  <c r="A9" i="1"/>
  <c r="A8" i="1"/>
</calcChain>
</file>

<file path=xl/sharedStrings.xml><?xml version="1.0" encoding="utf-8"?>
<sst xmlns="http://schemas.openxmlformats.org/spreadsheetml/2006/main" count="155" uniqueCount="31">
  <si>
    <t>Ministry of Finance</t>
  </si>
  <si>
    <t>Government Bonds Outstanding as at June 30, 2021</t>
  </si>
  <si>
    <t xml:space="preserve">A-Egyptian Pounds </t>
  </si>
  <si>
    <t>Nominal Amount</t>
  </si>
  <si>
    <t>Issue date</t>
  </si>
  <si>
    <t>Coupon</t>
  </si>
  <si>
    <t>Maturity</t>
  </si>
  <si>
    <t>Rating</t>
  </si>
  <si>
    <t>B-</t>
  </si>
  <si>
    <t>B</t>
  </si>
  <si>
    <t>B+</t>
  </si>
  <si>
    <t>CCC+</t>
  </si>
  <si>
    <t>BBB-</t>
  </si>
  <si>
    <t xml:space="preserve">      B-Zero Coupon Bond</t>
  </si>
  <si>
    <t>Issue Date</t>
  </si>
  <si>
    <t>W.A. Yield</t>
  </si>
  <si>
    <t>C-Eurobond (US Dollars)</t>
  </si>
  <si>
    <t>B*/B3**</t>
  </si>
  <si>
    <t>B*/B-***</t>
  </si>
  <si>
    <t>B+*/B***</t>
  </si>
  <si>
    <t>B*/B***</t>
  </si>
  <si>
    <t>B*</t>
  </si>
  <si>
    <t>BB+</t>
  </si>
  <si>
    <t>*/ According to Fitch rating</t>
  </si>
  <si>
    <t>**/According to Moodys rating</t>
  </si>
  <si>
    <t>***/According to S&amp;P rating</t>
  </si>
  <si>
    <t>D-Eurobond (Euro)</t>
  </si>
  <si>
    <t>B*/B+**</t>
  </si>
  <si>
    <t>B-*/B**</t>
  </si>
  <si>
    <t>*/According to S&amp;P rating</t>
  </si>
  <si>
    <t>**/According to Fitch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</si>
</sst>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[$-409]d\-mmm\-yyyy;@"/>
    <numFmt numFmtId="166" formatCode="0.000"/>
    <numFmt numFmtId="167" formatCode="[$-409]d\-mmm\-yy;@"/>
    <numFmt numFmtId="168" formatCode="0.000%"/>
  </numFmts>
  <fonts count="9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24"/>
      <color rgb="FF002060"/>
      <name val="Arial Narrow"/>
      <family val="2"/>
    </font>
    <font>
      <b/>
      <sz val="18"/>
      <color rgb="FF002060"/>
      <name val="Arial Narrow"/>
      <family val="2"/>
    </font>
    <font>
      <sz val="12"/>
      <color rgb="FF002060"/>
      <name val="Arial Narrow"/>
      <family val="2"/>
    </font>
    <font>
      <b/>
      <sz val="20"/>
      <color rgb="FF002060"/>
      <name val="Arial Narrow"/>
      <family val="2"/>
    </font>
    <font>
      <b/>
      <sz val="12"/>
      <color rgb="FF002060"/>
      <name val="Arial Narrow"/>
      <family val="2"/>
    </font>
    <font>
      <b/>
      <sz val="16"/>
      <color rgb="FF002060"/>
      <name val="Arial Narrow"/>
      <family val="2"/>
    </font>
    <font>
      <sz val="16"/>
      <color rgb="FF00206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5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17" fontId="4" fillId="0" borderId="0" xfId="0" applyNumberFormat="1" applyFont="1" applyAlignment="1">
      <alignment horizontal="center"/>
    </xf>
    <xf numFmtId="15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8" fillId="0" borderId="0" xfId="0" applyFont="1"/>
    <xf numFmtId="168" fontId="6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3" fontId="1" fillId="0" borderId="0" xfId="0" applyNumberFormat="1" applyFont="1"/>
    <xf numFmtId="17" fontId="8" fillId="0" borderId="0" xfId="0" applyNumberFormat="1" applyFont="1" applyAlignment="1">
      <alignment horizontal="center"/>
    </xf>
    <xf numFmtId="15" fontId="8" fillId="0" borderId="0" xfId="0" applyNumberFormat="1" applyFont="1" applyAlignment="1">
      <alignment horizontal="center"/>
    </xf>
    <xf numFmtId="4" fontId="1" fillId="0" borderId="0" xfId="0" applyNumberFormat="1" applyFont="1"/>
    <xf numFmtId="3" fontId="6" fillId="0" borderId="0" xfId="0" applyNumberFormat="1" applyFont="1" applyAlignment="1">
      <alignment vertical="center"/>
    </xf>
    <xf numFmtId="17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1285875</xdr:colOff>
      <xdr:row>2</xdr:row>
      <xdr:rowOff>9525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33FF3B85-C811-4ECF-89E2-BAA1859F0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58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bt/Nouran%20Youssef/word%20&amp;%20Excell%20Documents%20for%20the%20Web%20Site/Government%20Bills%20&amp;%20Bonds%20Outstanding/Sarah%20since%20July%202011/Government%20Bonds%20Outsta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f Website"/>
      <sheetName val="30 June 21"/>
      <sheetName val="Latest W. Av. "/>
      <sheetName val="31 May 21"/>
      <sheetName val="30 April 21"/>
      <sheetName val="31 March 21"/>
      <sheetName val="28 Feb 21"/>
      <sheetName val="31 Jan 21"/>
      <sheetName val="31 Dec 20"/>
      <sheetName val="30 Nov 20"/>
      <sheetName val="31 Oct 20"/>
      <sheetName val="30 Sept 20"/>
      <sheetName val="31 Aug 20"/>
      <sheetName val="31 July 20"/>
      <sheetName val="30 June 20"/>
      <sheetName val="31 May 20"/>
      <sheetName val="30 April 20"/>
      <sheetName val="31 March 20"/>
      <sheetName val="29 Feb 20"/>
      <sheetName val="30 Jan 20"/>
      <sheetName val="31 Dec 19"/>
      <sheetName val="30 Nov 19"/>
      <sheetName val="31 Oct 19"/>
      <sheetName val="30 Sept 19"/>
      <sheetName val="31 Aug 19"/>
      <sheetName val="31 July 19"/>
      <sheetName val="30 June 19"/>
      <sheetName val="31 May 19"/>
      <sheetName val="30 April 19"/>
      <sheetName val="31 March 19"/>
      <sheetName val="28 Feb 19"/>
      <sheetName val="31 Jan 19"/>
      <sheetName val="31 Dec 18"/>
      <sheetName val="30 Nov 18"/>
      <sheetName val="31 Oct 2018"/>
      <sheetName val="30 Sept 2018"/>
      <sheetName val="31 August 2018"/>
      <sheetName val="31 July 2018"/>
      <sheetName val="30 June 2018"/>
      <sheetName val="31 May 2018"/>
      <sheetName val="30 April 2018"/>
      <sheetName val="27 March 2018"/>
      <sheetName val="28 February 2018"/>
      <sheetName val="31 January 2018"/>
      <sheetName val="31 December 2017"/>
      <sheetName val="30 November 2017"/>
      <sheetName val="31 October 2017"/>
      <sheetName val="30 September 2017"/>
      <sheetName val="31 August 2017"/>
      <sheetName val="31 July 2017"/>
      <sheetName val="30 June 2017"/>
      <sheetName val="31 May 2017"/>
      <sheetName val="30 April 2017"/>
      <sheetName val="31 March 2017"/>
      <sheetName val="28 February 2017"/>
      <sheetName val="31 January 2017"/>
      <sheetName val="31 December 2016"/>
      <sheetName val="30 November 2016"/>
      <sheetName val="31 October 2016"/>
      <sheetName val="30 September 2016"/>
      <sheetName val="31 August 2016"/>
      <sheetName val="31 July 2016"/>
      <sheetName val="30 June 2016"/>
      <sheetName val="31 May 2016"/>
      <sheetName val="30 April 2016"/>
      <sheetName val="31 March 2016"/>
      <sheetName val="29 February 2016"/>
      <sheetName val="31 January 2016"/>
      <sheetName val="31 December 2015"/>
      <sheetName val="30 November 2015"/>
      <sheetName val="31 October 2015"/>
      <sheetName val="30 September 2015"/>
      <sheetName val="31 August 2015"/>
      <sheetName val="31 July 2015"/>
      <sheetName val="30 June 2015"/>
      <sheetName val="31 May 2015"/>
      <sheetName val="30 April 2015"/>
      <sheetName val="31 March 2015"/>
      <sheetName val="28 February 2015"/>
      <sheetName val="31 January 2015"/>
      <sheetName val="31 December 2014"/>
      <sheetName val="30 November 2014"/>
      <sheetName val="31 October 2014"/>
      <sheetName val="30 September 2014"/>
      <sheetName val="31 August 2014"/>
      <sheetName val="31 July 2014"/>
      <sheetName val="30 June 2014"/>
      <sheetName val="31 May 2014"/>
      <sheetName val="30 April 2014"/>
      <sheetName val="31 March 2014"/>
      <sheetName val="28 Feb 2014"/>
      <sheetName val="31 Jan 2014"/>
      <sheetName val="31 Dec 2013"/>
      <sheetName val="30 Nov 2013"/>
      <sheetName val="31 Oct 2013"/>
      <sheetName val="30 September 2013"/>
      <sheetName val="31 August 2013"/>
      <sheetName val="31 July 2013"/>
      <sheetName val="30 June 2013"/>
      <sheetName val="31 May 2013"/>
      <sheetName val="30 April 2013"/>
      <sheetName val="31 March 2013"/>
      <sheetName val="28 Feb 2013"/>
      <sheetName val="31 Jan 2013"/>
      <sheetName val="31 Dec 2012"/>
      <sheetName val="30 Nov"/>
      <sheetName val="Oct 31"/>
      <sheetName val="Sept 30"/>
      <sheetName val="Aug 31"/>
      <sheetName val="July 31"/>
      <sheetName val="June 30"/>
      <sheetName val="May 31"/>
      <sheetName val="April 30"/>
      <sheetName val="March 31"/>
      <sheetName val="March 13"/>
      <sheetName val="Feb 28, 2012 (not accurate in %"/>
      <sheetName val="Jan 12"/>
      <sheetName val="6 Dec"/>
      <sheetName val="Nov 30, 2011 (not accurate in %"/>
      <sheetName val="Oct 25"/>
      <sheetName val="Sept 6"/>
      <sheetName val="Aug 23"/>
      <sheetName val="Aug 2"/>
      <sheetName val="July 26"/>
      <sheetName val="July 07"/>
      <sheetName val="Mar 31"/>
      <sheetName val="Feb 28"/>
      <sheetName val="Jan 30"/>
      <sheetName val="Dec 31"/>
      <sheetName val=" W. Av."/>
      <sheetName val="Nov 30"/>
      <sheetName val="Nov 23"/>
      <sheetName val="Nov 16"/>
      <sheetName val="Nov 09"/>
      <sheetName val="Nov 02"/>
      <sheetName val="October 19"/>
      <sheetName val="October 05"/>
      <sheetName val="Weighted Average"/>
      <sheetName val="as at Sep 28"/>
      <sheetName val="as at Sep 21"/>
      <sheetName val="as at Sep 14"/>
      <sheetName val="as at Sep 07"/>
      <sheetName val="as at Aug 31st"/>
      <sheetName val="as at Aug 17"/>
      <sheetName val="as at Aug 03"/>
      <sheetName val="as at July 20"/>
      <sheetName val="as at July 06"/>
      <sheetName val="as at June 15"/>
      <sheetName val="as at May 25, 2010"/>
      <sheetName val="as at May 18, 2010"/>
      <sheetName val="as at May 04, 2010"/>
      <sheetName val="as at April 20, 2010 "/>
      <sheetName val="as at April 06, 2010"/>
      <sheetName val="as at March 30,2010"/>
      <sheetName val="as at March 16,2010"/>
      <sheetName val="as at March 02"/>
      <sheetName val="As at Feb 16, 2010"/>
      <sheetName val="As at Feb 02, 2010"/>
      <sheetName val="As at Jan 19, 2010"/>
      <sheetName val="As at Jan 05, 2010"/>
      <sheetName val="As at December 29"/>
      <sheetName val="As at December 15"/>
      <sheetName val="As at December 08"/>
      <sheetName val="As at November 24"/>
      <sheetName val="As at November 10"/>
      <sheetName val="As at October 20"/>
      <sheetName val="As at October 13"/>
      <sheetName val="As at September 30"/>
      <sheetName val="As at Sep 15"/>
      <sheetName val="As at Aug 31"/>
    </sheetNames>
    <sheetDataSet>
      <sheetData sheetId="0" refreshError="1"/>
      <sheetData sheetId="1" refreshError="1"/>
      <sheetData sheetId="2">
        <row r="175">
          <cell r="G175">
            <v>0.14912960555650895</v>
          </cell>
        </row>
        <row r="268">
          <cell r="G268">
            <v>7.219269941800753E-2</v>
          </cell>
        </row>
        <row r="283">
          <cell r="G283">
            <v>5.4765624999999998E-2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443C-1316-4E9F-A04F-1CE3B884FBC5}">
  <dimension ref="A1:G163"/>
  <sheetViews>
    <sheetView tabSelected="1" workbookViewId="0">
      <selection activeCell="J54" sqref="J54"/>
    </sheetView>
  </sheetViews>
  <sheetFormatPr defaultColWidth="9" defaultRowHeight="15.75" x14ac:dyDescent="0.25"/>
  <cols>
    <col min="1" max="1" width="42.42578125" style="1" customWidth="1"/>
    <col min="2" max="2" width="15.42578125" style="2" bestFit="1" customWidth="1"/>
    <col min="3" max="3" width="14.85546875" style="3" bestFit="1" customWidth="1"/>
    <col min="4" max="4" width="14.5703125" style="2" customWidth="1"/>
    <col min="5" max="5" width="11" style="1" bestFit="1" customWidth="1"/>
    <col min="6" max="6" width="9" style="4"/>
    <col min="7" max="7" width="19.5703125" style="4" customWidth="1"/>
    <col min="8" max="9" width="9" style="4"/>
    <col min="10" max="10" width="16.42578125" style="4" bestFit="1" customWidth="1"/>
    <col min="11" max="16384" width="9" style="4"/>
  </cols>
  <sheetData>
    <row r="1" spans="1:6" ht="49.5" customHeight="1" x14ac:dyDescent="0.25"/>
    <row r="2" spans="1:6" ht="30.95" customHeight="1" x14ac:dyDescent="0.4">
      <c r="A2" s="5" t="s">
        <v>0</v>
      </c>
      <c r="B2" s="5"/>
      <c r="C2" s="5"/>
      <c r="D2" s="5"/>
      <c r="E2" s="5"/>
    </row>
    <row r="3" spans="1:6" ht="23.25" x14ac:dyDescent="0.35">
      <c r="A3" s="6" t="s">
        <v>1</v>
      </c>
      <c r="B3" s="6"/>
      <c r="C3" s="6"/>
      <c r="D3" s="6"/>
      <c r="E3" s="6"/>
      <c r="F3" s="6"/>
    </row>
    <row r="4" spans="1:6" x14ac:dyDescent="0.25">
      <c r="A4" s="7"/>
      <c r="B4" s="8"/>
      <c r="C4" s="9"/>
      <c r="D4" s="8"/>
      <c r="E4" s="7"/>
    </row>
    <row r="5" spans="1:6" ht="25.5" x14ac:dyDescent="0.35">
      <c r="A5" s="10" t="s">
        <v>2</v>
      </c>
      <c r="B5" s="8"/>
      <c r="C5" s="9"/>
      <c r="D5" s="8"/>
      <c r="E5" s="7"/>
    </row>
    <row r="6" spans="1:6" ht="23.25" x14ac:dyDescent="0.35">
      <c r="A6" s="11" t="s">
        <v>3</v>
      </c>
      <c r="B6" s="12" t="s">
        <v>4</v>
      </c>
      <c r="C6" s="12" t="s">
        <v>5</v>
      </c>
      <c r="D6" s="12" t="s">
        <v>6</v>
      </c>
      <c r="E6" s="12" t="s">
        <v>7</v>
      </c>
    </row>
    <row r="7" spans="1:6" x14ac:dyDescent="0.25">
      <c r="A7" s="7"/>
      <c r="B7" s="13"/>
      <c r="C7" s="9"/>
      <c r="D7" s="14"/>
      <c r="E7" s="7"/>
    </row>
    <row r="8" spans="1:6" x14ac:dyDescent="0.25">
      <c r="A8" s="15">
        <f>2250000000+2500000000+2500000000+3607532000+2000000000+1758920000</f>
        <v>14616452000</v>
      </c>
      <c r="B8" s="16">
        <v>42556</v>
      </c>
      <c r="C8" s="17">
        <v>16.399999999999999</v>
      </c>
      <c r="D8" s="16">
        <v>44382</v>
      </c>
      <c r="E8" s="18" t="s">
        <v>8</v>
      </c>
    </row>
    <row r="9" spans="1:6" x14ac:dyDescent="0.25">
      <c r="A9" s="15">
        <f>1500000000+393250000+919350000+1767409000+500000000+831106000+750000000+1000000000+1000000000+1000000000+1000000000+1500000000</f>
        <v>12161115000</v>
      </c>
      <c r="B9" s="16">
        <v>41828</v>
      </c>
      <c r="C9" s="17">
        <v>14.5</v>
      </c>
      <c r="D9" s="16">
        <v>44385</v>
      </c>
      <c r="E9" s="18" t="s">
        <v>8</v>
      </c>
    </row>
    <row r="10" spans="1:6" x14ac:dyDescent="0.25">
      <c r="A10" s="15">
        <f>2500000000+2500000000+750000000+750000000+1000000000+1020775000+577600000+250000000+250000000+250000000+380905000+525315000+686790000+350000000+2500000000+350000000+350000000+660740000+750000000+850000000+250000000+150000000+2018175000+1200000000+1180686000+2166000000</f>
        <v>24216986000</v>
      </c>
      <c r="B10" s="16">
        <v>42598</v>
      </c>
      <c r="C10" s="17">
        <v>16.75</v>
      </c>
      <c r="D10" s="16">
        <v>44424</v>
      </c>
      <c r="E10" s="18" t="s">
        <v>8</v>
      </c>
    </row>
    <row r="11" spans="1:6" x14ac:dyDescent="0.25">
      <c r="A11" s="15">
        <f>1015157000+750000000+1000000000+1569597000+3590454000+1000000000+515000000+3095000000+435522000+295000000+2812000000</f>
        <v>16077730000</v>
      </c>
      <c r="B11" s="16">
        <v>43445</v>
      </c>
      <c r="C11" s="17">
        <v>18.149999999999999</v>
      </c>
      <c r="D11" s="16">
        <v>44541</v>
      </c>
      <c r="E11" s="18" t="s">
        <v>9</v>
      </c>
    </row>
    <row r="12" spans="1:6" x14ac:dyDescent="0.25">
      <c r="A12" s="15">
        <f>1500000000+1500000000+1750000000+1750000000+2000000000</f>
        <v>8500000000</v>
      </c>
      <c r="B12" s="16">
        <v>42017</v>
      </c>
      <c r="C12" s="17">
        <v>14.5</v>
      </c>
      <c r="D12" s="16">
        <v>44574</v>
      </c>
      <c r="E12" s="18" t="s">
        <v>8</v>
      </c>
    </row>
    <row r="13" spans="1:6" x14ac:dyDescent="0.25">
      <c r="A13" s="15">
        <f>1500000000+1500000000+1500000000+1500000000+1750000000+1750000000+1750000000+1750000000+1600000000+1250000000+1250000000</f>
        <v>17100000000</v>
      </c>
      <c r="B13" s="16">
        <v>42045</v>
      </c>
      <c r="C13" s="17">
        <v>13</v>
      </c>
      <c r="D13" s="16">
        <v>44602</v>
      </c>
      <c r="E13" s="18" t="s">
        <v>8</v>
      </c>
    </row>
    <row r="14" spans="1:6" x14ac:dyDescent="0.25">
      <c r="A14" s="15">
        <f>1000000000+1000000000+1000000000+1000000000+1000000000+900000000+1100000000+1000000000+1000000000+750000000+1000000000+1000000000+840840000+690700000+299846000</f>
        <v>13581386000</v>
      </c>
      <c r="B14" s="16">
        <v>41002</v>
      </c>
      <c r="C14" s="17">
        <v>17</v>
      </c>
      <c r="D14" s="16">
        <v>44654</v>
      </c>
      <c r="E14" s="18" t="s">
        <v>10</v>
      </c>
    </row>
    <row r="15" spans="1:6" x14ac:dyDescent="0.25">
      <c r="A15" s="15">
        <f>125000000+1215400000+750000000+750000000+750000000</f>
        <v>3590400000</v>
      </c>
      <c r="B15" s="16">
        <v>42878</v>
      </c>
      <c r="C15" s="17">
        <v>18.75</v>
      </c>
      <c r="D15" s="16">
        <v>44704</v>
      </c>
      <c r="E15" s="18" t="s">
        <v>8</v>
      </c>
    </row>
    <row r="16" spans="1:6" x14ac:dyDescent="0.25">
      <c r="A16" s="15">
        <f>2255100000+1714300000+300000000+3490000000+400000000+500000000+2491750000+4000000000+2000000000+2206285000+1250000000+3000000000+13000000000</f>
        <v>36607435000</v>
      </c>
      <c r="B16" s="16">
        <v>43627</v>
      </c>
      <c r="C16" s="17">
        <v>16</v>
      </c>
      <c r="D16" s="16">
        <v>44723</v>
      </c>
      <c r="E16" s="18" t="s">
        <v>9</v>
      </c>
    </row>
    <row r="17" spans="1:5" x14ac:dyDescent="0.25">
      <c r="A17" s="15">
        <f>5397500000+1250000000+4681450000</f>
        <v>11328950000</v>
      </c>
      <c r="B17" s="16">
        <v>44033</v>
      </c>
      <c r="C17" s="17">
        <v>14.051</v>
      </c>
      <c r="D17" s="16">
        <v>44763</v>
      </c>
      <c r="E17" s="18" t="s">
        <v>9</v>
      </c>
    </row>
    <row r="18" spans="1:5" x14ac:dyDescent="0.25">
      <c r="A18" s="15">
        <f>1500000000+1750000000+2000000000+2000000000+2250000000+2250000000+2250000000+2250000000</f>
        <v>16250000000</v>
      </c>
      <c r="B18" s="16">
        <v>42227</v>
      </c>
      <c r="C18" s="17">
        <v>14.6</v>
      </c>
      <c r="D18" s="16">
        <v>44784</v>
      </c>
      <c r="E18" s="18" t="s">
        <v>8</v>
      </c>
    </row>
    <row r="19" spans="1:5" x14ac:dyDescent="0.25">
      <c r="A19" s="15">
        <f>750000000+750000000+1000000000+1000000000</f>
        <v>3500000000</v>
      </c>
      <c r="B19" s="16">
        <v>42962</v>
      </c>
      <c r="C19" s="17">
        <v>16.850000000000001</v>
      </c>
      <c r="D19" s="16">
        <v>44788</v>
      </c>
      <c r="E19" s="18" t="s">
        <v>8</v>
      </c>
    </row>
    <row r="20" spans="1:5" x14ac:dyDescent="0.25">
      <c r="A20" s="15">
        <f>3680000000+4105000000+2000000000+3266500000+4526200000+4743865000</f>
        <v>22321565000</v>
      </c>
      <c r="B20" s="16">
        <v>43711</v>
      </c>
      <c r="C20" s="17">
        <v>14.3</v>
      </c>
      <c r="D20" s="16">
        <v>44807</v>
      </c>
      <c r="E20" s="18" t="s">
        <v>9</v>
      </c>
    </row>
    <row r="21" spans="1:5" x14ac:dyDescent="0.25">
      <c r="A21" s="15">
        <f>1336100000+1506000000+1250000000+1250000000+1500000000+1250000000+1250000000+1800040000</f>
        <v>11142140000</v>
      </c>
      <c r="B21" s="16">
        <v>43018</v>
      </c>
      <c r="C21" s="17">
        <v>15.16</v>
      </c>
      <c r="D21" s="16">
        <v>44844</v>
      </c>
      <c r="E21" s="18" t="s">
        <v>8</v>
      </c>
    </row>
    <row r="22" spans="1:5" x14ac:dyDescent="0.25">
      <c r="A22" s="15">
        <f>3000000000+2500000000+6411450000</f>
        <v>11911450000</v>
      </c>
      <c r="B22" s="16">
        <v>44124</v>
      </c>
      <c r="C22" s="17">
        <v>14.138</v>
      </c>
      <c r="D22" s="16">
        <v>44854</v>
      </c>
      <c r="E22" s="18" t="s">
        <v>9</v>
      </c>
    </row>
    <row r="23" spans="1:5" x14ac:dyDescent="0.25">
      <c r="A23" s="15">
        <f>3500000000+3012000000+2000000000</f>
        <v>8512000000</v>
      </c>
      <c r="B23" s="16">
        <v>43795</v>
      </c>
      <c r="C23" s="17">
        <v>13.863</v>
      </c>
      <c r="D23" s="16">
        <v>44891</v>
      </c>
      <c r="E23" s="18" t="s">
        <v>9</v>
      </c>
    </row>
    <row r="24" spans="1:5" x14ac:dyDescent="0.25">
      <c r="A24" s="15">
        <f>2250000000+2250000000+2000000000+1750000000+1750000000</f>
        <v>10000000000</v>
      </c>
      <c r="B24" s="16">
        <v>42339</v>
      </c>
      <c r="C24" s="17">
        <v>14.3</v>
      </c>
      <c r="D24" s="16">
        <v>44896</v>
      </c>
      <c r="E24" s="18" t="s">
        <v>8</v>
      </c>
    </row>
    <row r="25" spans="1:5" x14ac:dyDescent="0.25">
      <c r="A25" s="15">
        <f>500000000+1000000000+500000000+1000000000+500000000+500000000+500000000+500000000+500000000+1002900000+1500000000+1500000000+1500000000+500000000+1000000000+350000000+1224600000+315000000+4000000000+750000000+1000000000+715852000</f>
        <v>20858352000</v>
      </c>
      <c r="B25" s="16">
        <v>41275</v>
      </c>
      <c r="C25" s="17">
        <v>16.3</v>
      </c>
      <c r="D25" s="16">
        <v>44927</v>
      </c>
      <c r="E25" s="18" t="s">
        <v>8</v>
      </c>
    </row>
    <row r="26" spans="1:5" x14ac:dyDescent="0.25">
      <c r="A26" s="15">
        <f>3770000000+4585606000</f>
        <v>8355606000</v>
      </c>
      <c r="B26" s="16">
        <v>43837</v>
      </c>
      <c r="C26" s="17">
        <v>13.721</v>
      </c>
      <c r="D26" s="16">
        <v>44933</v>
      </c>
      <c r="E26" s="18" t="s">
        <v>9</v>
      </c>
    </row>
    <row r="27" spans="1:5" x14ac:dyDescent="0.25">
      <c r="A27" s="15">
        <f>4331500000+5000000000+2317000000</f>
        <v>11648500000</v>
      </c>
      <c r="B27" s="16">
        <v>44215</v>
      </c>
      <c r="C27" s="17">
        <v>13.614000000000001</v>
      </c>
      <c r="D27" s="16">
        <v>44945</v>
      </c>
      <c r="E27" s="18" t="s">
        <v>9</v>
      </c>
    </row>
    <row r="28" spans="1:5" x14ac:dyDescent="0.25">
      <c r="A28" s="15">
        <f>1550000000+1554150000+864700000+808150000+1438400000</f>
        <v>6215400000</v>
      </c>
      <c r="B28" s="16">
        <v>43130</v>
      </c>
      <c r="C28" s="17">
        <v>14.8</v>
      </c>
      <c r="D28" s="16">
        <v>44956</v>
      </c>
      <c r="E28" s="18" t="s">
        <v>8</v>
      </c>
    </row>
    <row r="29" spans="1:5" x14ac:dyDescent="0.25">
      <c r="A29" s="15">
        <f>8570485000+3750000000+3189425000</f>
        <v>15509910000</v>
      </c>
      <c r="B29" s="16">
        <v>43865</v>
      </c>
      <c r="C29" s="17">
        <v>13.973000000000001</v>
      </c>
      <c r="D29" s="16">
        <v>44961</v>
      </c>
      <c r="E29" s="18" t="s">
        <v>9</v>
      </c>
    </row>
    <row r="30" spans="1:5" x14ac:dyDescent="0.25">
      <c r="A30" s="15">
        <f>1750000000+1750000000+1750000000+1250000000</f>
        <v>6500000000</v>
      </c>
      <c r="B30" s="16">
        <v>42409</v>
      </c>
      <c r="C30" s="17">
        <v>14.8</v>
      </c>
      <c r="D30" s="16">
        <v>44966</v>
      </c>
      <c r="E30" s="18" t="s">
        <v>8</v>
      </c>
    </row>
    <row r="31" spans="1:5" x14ac:dyDescent="0.25">
      <c r="A31" s="15">
        <f>4000000000</f>
        <v>4000000000</v>
      </c>
      <c r="B31" s="16">
        <v>43907</v>
      </c>
      <c r="C31" s="17">
        <v>14.765000000000001</v>
      </c>
      <c r="D31" s="16">
        <v>45002</v>
      </c>
      <c r="E31" s="18" t="s">
        <v>9</v>
      </c>
    </row>
    <row r="32" spans="1:5" x14ac:dyDescent="0.25">
      <c r="A32" s="15">
        <f>1585305000</f>
        <v>1585305000</v>
      </c>
      <c r="B32" s="16">
        <v>43921</v>
      </c>
      <c r="C32" s="17">
        <v>13.901999999999999</v>
      </c>
      <c r="D32" s="16">
        <v>45016</v>
      </c>
      <c r="E32" s="18" t="s">
        <v>9</v>
      </c>
    </row>
    <row r="33" spans="1:5" x14ac:dyDescent="0.25">
      <c r="A33" s="15">
        <f>986000000+1867467000+1205000000+1978250000+2600000000+2978250000</f>
        <v>11614967000</v>
      </c>
      <c r="B33" s="16">
        <v>43200</v>
      </c>
      <c r="C33" s="17">
        <v>14.85</v>
      </c>
      <c r="D33" s="16">
        <v>45026</v>
      </c>
      <c r="E33" s="18" t="s">
        <v>8</v>
      </c>
    </row>
    <row r="34" spans="1:5" x14ac:dyDescent="0.25">
      <c r="A34" s="15">
        <f>3750000000+351030000+3750000000+5076660000</f>
        <v>12927690000</v>
      </c>
      <c r="B34" s="16">
        <v>43935</v>
      </c>
      <c r="C34" s="17">
        <v>13.08</v>
      </c>
      <c r="D34" s="16">
        <v>45030</v>
      </c>
      <c r="E34" s="18" t="s">
        <v>9</v>
      </c>
    </row>
    <row r="35" spans="1:5" x14ac:dyDescent="0.25">
      <c r="A35" s="15">
        <f>1337800000+3672150000+5000000000</f>
        <v>10009950000</v>
      </c>
      <c r="B35" s="16">
        <v>44307</v>
      </c>
      <c r="C35" s="17">
        <v>13.759</v>
      </c>
      <c r="D35" s="16">
        <v>45036</v>
      </c>
      <c r="E35" s="18" t="s">
        <v>9</v>
      </c>
    </row>
    <row r="36" spans="1:5" x14ac:dyDescent="0.25">
      <c r="A36" s="15">
        <f>2662920000+402835000</f>
        <v>3065755000</v>
      </c>
      <c r="B36" s="16">
        <v>43991</v>
      </c>
      <c r="C36" s="17">
        <v>13.513999999999999</v>
      </c>
      <c r="D36" s="16">
        <v>45086</v>
      </c>
      <c r="E36" s="18" t="s">
        <v>9</v>
      </c>
    </row>
    <row r="37" spans="1:5" x14ac:dyDescent="0.25">
      <c r="A37" s="15">
        <f>920000000+3638800000+1970080000+500000000+1274630000+1000000000+2021800000+3500000000</f>
        <v>14825310000</v>
      </c>
      <c r="B37" s="16">
        <v>43284</v>
      </c>
      <c r="C37" s="17">
        <v>17.649999999999999</v>
      </c>
      <c r="D37" s="16">
        <v>45110</v>
      </c>
      <c r="E37" s="18" t="s">
        <v>9</v>
      </c>
    </row>
    <row r="38" spans="1:5" x14ac:dyDescent="0.25">
      <c r="A38" s="15">
        <f>1020000000+4500000000+1541600000+4500000000+6043990000+6654050000+4000000000</f>
        <v>28259640000</v>
      </c>
      <c r="B38" s="16">
        <v>44019</v>
      </c>
      <c r="C38" s="17">
        <v>14.196</v>
      </c>
      <c r="D38" s="16">
        <v>45114</v>
      </c>
      <c r="E38" s="18" t="s">
        <v>9</v>
      </c>
    </row>
    <row r="39" spans="1:5" x14ac:dyDescent="0.25">
      <c r="A39" s="15">
        <f>750000000+1000000000+500000000+560060000+500000000+451036000+558200000+500000000+250000000+250000000+418011000+350000000+350000000+350000000+350000000+500000000+350000000+512500000+1002455000+1350100000+1423080000+1500000000</f>
        <v>13775442000</v>
      </c>
      <c r="B39" s="16">
        <v>42591</v>
      </c>
      <c r="C39" s="17">
        <v>17.2</v>
      </c>
      <c r="D39" s="16">
        <v>45147</v>
      </c>
      <c r="E39" s="18" t="s">
        <v>8</v>
      </c>
    </row>
    <row r="40" spans="1:5" x14ac:dyDescent="0.25">
      <c r="A40" s="15">
        <f>1500000000+1500000000</f>
        <v>3000000000</v>
      </c>
      <c r="B40" s="16">
        <v>41520</v>
      </c>
      <c r="C40" s="17">
        <v>15.96</v>
      </c>
      <c r="D40" s="16">
        <v>45172</v>
      </c>
      <c r="E40" s="18" t="s">
        <v>11</v>
      </c>
    </row>
    <row r="41" spans="1:5" x14ac:dyDescent="0.25">
      <c r="A41" s="15">
        <f>750000000+1314000000+750000000+204000000+1000000000+710116000+750000000+1080100000+1160000000+300000000+750000000+1920000000+275599000+2628000000+1305200000</f>
        <v>14897015000</v>
      </c>
      <c r="B41" s="16">
        <v>43382</v>
      </c>
      <c r="C41" s="17">
        <v>18.350000000000001</v>
      </c>
      <c r="D41" s="16">
        <v>45208</v>
      </c>
      <c r="E41" s="18" t="s">
        <v>9</v>
      </c>
    </row>
    <row r="42" spans="1:5" x14ac:dyDescent="0.25">
      <c r="A42" s="15">
        <f>5323800000+11934744000+9695080000+14778600000+4824000000+8671465000</f>
        <v>55227689000</v>
      </c>
      <c r="B42" s="16">
        <v>44117</v>
      </c>
      <c r="C42" s="17">
        <v>14.313000000000001</v>
      </c>
      <c r="D42" s="16">
        <v>45212</v>
      </c>
      <c r="E42" s="18" t="s">
        <v>9</v>
      </c>
    </row>
    <row r="43" spans="1:5" x14ac:dyDescent="0.25">
      <c r="A43" s="15">
        <f>1500000000+1500000000+978100000+1500000000+1500000000+2000000000+2000000000+1195130000+5000000000</f>
        <v>17173230000</v>
      </c>
      <c r="B43" s="16">
        <v>41555</v>
      </c>
      <c r="C43" s="17">
        <v>14</v>
      </c>
      <c r="D43" s="16">
        <v>45238</v>
      </c>
      <c r="E43" s="18" t="s">
        <v>11</v>
      </c>
    </row>
    <row r="44" spans="1:5" x14ac:dyDescent="0.25">
      <c r="A44" s="15">
        <f>975350000+10012580000+3237450000+13617675000+7345550000+10087160000+8897655000</f>
        <v>54173420000</v>
      </c>
      <c r="B44" s="16">
        <v>44201</v>
      </c>
      <c r="C44" s="17">
        <v>13.765000000000001</v>
      </c>
      <c r="D44" s="16">
        <v>45296</v>
      </c>
      <c r="E44" s="18" t="s">
        <v>9</v>
      </c>
    </row>
    <row r="45" spans="1:5" x14ac:dyDescent="0.25">
      <c r="A45" s="15">
        <f>2000000000+2000000000+1000000000+1000000000+1036700000+2000000000</f>
        <v>9036700000</v>
      </c>
      <c r="B45" s="16">
        <v>41681</v>
      </c>
      <c r="C45" s="17">
        <v>14.9</v>
      </c>
      <c r="D45" s="16">
        <v>45333</v>
      </c>
      <c r="E45" s="18" t="s">
        <v>8</v>
      </c>
    </row>
    <row r="46" spans="1:5" x14ac:dyDescent="0.25">
      <c r="A46" s="15">
        <f>389366000+3200600000+1000000000+1315650000+985000000+2203100000</f>
        <v>9093716000</v>
      </c>
      <c r="B46" s="16">
        <v>43564</v>
      </c>
      <c r="C46" s="17">
        <v>16.3</v>
      </c>
      <c r="D46" s="16">
        <v>45391</v>
      </c>
      <c r="E46" s="18" t="s">
        <v>9</v>
      </c>
    </row>
    <row r="47" spans="1:5" x14ac:dyDescent="0.25">
      <c r="A47" s="15">
        <f>9941135000+6542460000+7362645000+4181265000+7073405000+8750985000</f>
        <v>43851895000</v>
      </c>
      <c r="B47" s="16">
        <v>44299</v>
      </c>
      <c r="C47" s="17">
        <v>14.2</v>
      </c>
      <c r="D47" s="16">
        <v>45395</v>
      </c>
      <c r="E47" s="18" t="s">
        <v>9</v>
      </c>
    </row>
    <row r="48" spans="1:5" x14ac:dyDescent="0.25">
      <c r="A48" s="15">
        <f>491000000+940900000+745050000+750000000+750000000+750000000</f>
        <v>4426950000</v>
      </c>
      <c r="B48" s="16">
        <v>42885</v>
      </c>
      <c r="C48" s="17">
        <v>18.399999999999999</v>
      </c>
      <c r="D48" s="16">
        <v>45442</v>
      </c>
      <c r="E48" s="18" t="s">
        <v>8</v>
      </c>
    </row>
    <row r="49" spans="1:5" x14ac:dyDescent="0.25">
      <c r="A49" s="15">
        <f>1405750000+500000000+2000000000+1500000000+500000000+1000000000+1000000000+3000000000+1750000000+1750000000+1750000000</f>
        <v>16155750000</v>
      </c>
      <c r="B49" s="16">
        <v>41793</v>
      </c>
      <c r="C49" s="17">
        <v>15.55</v>
      </c>
      <c r="D49" s="16">
        <v>45446</v>
      </c>
      <c r="E49" s="18" t="s">
        <v>8</v>
      </c>
    </row>
    <row r="50" spans="1:5" x14ac:dyDescent="0.25">
      <c r="A50" s="15">
        <f>1707600000+400000000+5814000000+1000000000+1500000000+500000000+6604550000+6000000000+2000000000+1197000000+9000000000+5000000000+2000000000+1250000000</f>
        <v>43973150000</v>
      </c>
      <c r="B50" s="16">
        <v>43648</v>
      </c>
      <c r="C50" s="17">
        <v>15.9</v>
      </c>
      <c r="D50" s="16">
        <v>45475</v>
      </c>
      <c r="E50" s="18" t="s">
        <v>9</v>
      </c>
    </row>
    <row r="51" spans="1:5" x14ac:dyDescent="0.25">
      <c r="A51" s="15">
        <f>818945000+1488619000+1000000000+1039690000+800000000</f>
        <v>5147254000</v>
      </c>
      <c r="B51" s="16">
        <v>41891</v>
      </c>
      <c r="C51" s="17">
        <v>15.9</v>
      </c>
      <c r="D51" s="16">
        <v>45544</v>
      </c>
      <c r="E51" s="18" t="s">
        <v>8</v>
      </c>
    </row>
    <row r="52" spans="1:5" x14ac:dyDescent="0.25">
      <c r="A52" s="15">
        <f>5338000000+3527265000+2000000000+5134367000+4213720000</f>
        <v>20213352000</v>
      </c>
      <c r="B52" s="16">
        <v>43718</v>
      </c>
      <c r="C52" s="17">
        <v>14.35</v>
      </c>
      <c r="D52" s="16">
        <v>45545</v>
      </c>
      <c r="E52" s="18" t="s">
        <v>9</v>
      </c>
    </row>
    <row r="53" spans="1:5" x14ac:dyDescent="0.25">
      <c r="A53" s="15">
        <f>326000000+693587000+2440000000+2000000000</f>
        <v>5459587000</v>
      </c>
      <c r="B53" s="16">
        <v>43788</v>
      </c>
      <c r="C53" s="17">
        <v>13.837</v>
      </c>
      <c r="D53" s="16">
        <v>45615</v>
      </c>
      <c r="E53" s="18" t="s">
        <v>9</v>
      </c>
    </row>
    <row r="54" spans="1:5" x14ac:dyDescent="0.25">
      <c r="A54" s="15">
        <f>1000000000+1000000000+1500000000+1500000000+1250000000+1000000000+1000000000+1123740000+1500000000+1056960000+1000000000+1702750000</f>
        <v>14633450000</v>
      </c>
      <c r="B54" s="16">
        <v>41982</v>
      </c>
      <c r="C54" s="17">
        <v>15.25</v>
      </c>
      <c r="D54" s="16">
        <v>45635</v>
      </c>
      <c r="E54" s="18" t="s">
        <v>8</v>
      </c>
    </row>
    <row r="55" spans="1:5" x14ac:dyDescent="0.25">
      <c r="A55" s="15">
        <f>4037700000+4951875000+2286450000+3191439000+2201260000</f>
        <v>16668724000</v>
      </c>
      <c r="B55" s="16">
        <v>43844</v>
      </c>
      <c r="C55" s="17">
        <v>13.536</v>
      </c>
      <c r="D55" s="16">
        <v>45671</v>
      </c>
      <c r="E55" s="18" t="s">
        <v>9</v>
      </c>
    </row>
    <row r="56" spans="1:5" x14ac:dyDescent="0.25">
      <c r="A56" s="15">
        <v>1000000000</v>
      </c>
      <c r="B56" s="16">
        <v>38370</v>
      </c>
      <c r="C56" s="17">
        <v>11.4</v>
      </c>
      <c r="D56" s="16">
        <v>45675</v>
      </c>
      <c r="E56" s="18" t="s">
        <v>12</v>
      </c>
    </row>
    <row r="57" spans="1:5" x14ac:dyDescent="0.25">
      <c r="A57" s="15">
        <f>1500000000+1500000000+1500000000+1500000000+1500000000+1500000000+1750000000+1750000000+2000000000+2000000000</f>
        <v>16500000000</v>
      </c>
      <c r="B57" s="16">
        <v>42038</v>
      </c>
      <c r="C57" s="17">
        <v>14.15</v>
      </c>
      <c r="D57" s="16">
        <v>45691</v>
      </c>
      <c r="E57" s="18" t="s">
        <v>8</v>
      </c>
    </row>
    <row r="58" spans="1:5" x14ac:dyDescent="0.25">
      <c r="A58" s="15">
        <f>1000000000+1250000000+261700000+686500000+404750000+2000000000</f>
        <v>5602950000</v>
      </c>
      <c r="B58" s="16">
        <v>43151</v>
      </c>
      <c r="C58" s="17">
        <v>14.5</v>
      </c>
      <c r="D58" s="16">
        <v>45708</v>
      </c>
      <c r="E58" s="18" t="s">
        <v>8</v>
      </c>
    </row>
    <row r="59" spans="1:5" x14ac:dyDescent="0.25">
      <c r="A59" s="15">
        <f>4000000000+3500000000</f>
        <v>7500000000</v>
      </c>
      <c r="B59" s="16">
        <v>43914</v>
      </c>
      <c r="C59" s="17">
        <v>13.939</v>
      </c>
      <c r="D59" s="16">
        <v>45740</v>
      </c>
      <c r="E59" s="18" t="s">
        <v>9</v>
      </c>
    </row>
    <row r="60" spans="1:5" x14ac:dyDescent="0.25">
      <c r="A60" s="15">
        <f>1395090000+205535000+13340000</f>
        <v>1613965000</v>
      </c>
      <c r="B60" s="16">
        <v>43942</v>
      </c>
      <c r="C60" s="17">
        <v>13.298</v>
      </c>
      <c r="D60" s="16">
        <v>45768</v>
      </c>
      <c r="E60" s="18" t="s">
        <v>9</v>
      </c>
    </row>
    <row r="61" spans="1:5" x14ac:dyDescent="0.25">
      <c r="A61" s="15">
        <f>1750000000+1750000000+1250000000+1250000000+1750000000+1750000000+1750000000+1750000000+2250000000+2250000000</f>
        <v>17500000000</v>
      </c>
      <c r="B61" s="16">
        <v>42136</v>
      </c>
      <c r="C61" s="17">
        <v>14.4</v>
      </c>
      <c r="D61" s="16">
        <v>45789</v>
      </c>
      <c r="E61" s="18" t="s">
        <v>8</v>
      </c>
    </row>
    <row r="62" spans="1:5" x14ac:dyDescent="0.25">
      <c r="A62" s="15">
        <f>567000000+9000000</f>
        <v>576000000</v>
      </c>
      <c r="B62" s="16">
        <v>43998</v>
      </c>
      <c r="C62" s="17">
        <v>13.727</v>
      </c>
      <c r="D62" s="16">
        <v>45824</v>
      </c>
      <c r="E62" s="18" t="s">
        <v>9</v>
      </c>
    </row>
    <row r="63" spans="1:5" x14ac:dyDescent="0.25">
      <c r="A63" s="15">
        <f>3500000000+2004835000+1658000000+1437500000</f>
        <v>8600335000</v>
      </c>
      <c r="B63" s="16">
        <v>44026</v>
      </c>
      <c r="C63" s="17">
        <v>14.349</v>
      </c>
      <c r="D63" s="16">
        <v>45852</v>
      </c>
      <c r="E63" s="18" t="s">
        <v>9</v>
      </c>
    </row>
    <row r="64" spans="1:5" x14ac:dyDescent="0.25">
      <c r="A64" s="15">
        <f>1500000000+1884400000+153800000+500000000+1255250000+1000700000+1448000000+1000000+10000000+430400000+750000000+2937099000+955408000+902190000+1000588000+235000000+400000000</f>
        <v>15363835000</v>
      </c>
      <c r="B64" s="16">
        <v>43319</v>
      </c>
      <c r="C64" s="17">
        <v>17.7</v>
      </c>
      <c r="D64" s="16">
        <v>45876</v>
      </c>
      <c r="E64" s="18" t="s">
        <v>9</v>
      </c>
    </row>
    <row r="65" spans="1:5" x14ac:dyDescent="0.25">
      <c r="A65" s="15">
        <f>14797950000</f>
        <v>14797950000</v>
      </c>
      <c r="B65" s="16">
        <v>44082</v>
      </c>
      <c r="C65" s="17">
        <v>14.605</v>
      </c>
      <c r="D65" s="16">
        <v>45908</v>
      </c>
      <c r="E65" s="18" t="s">
        <v>9</v>
      </c>
    </row>
    <row r="66" spans="1:5" x14ac:dyDescent="0.25">
      <c r="A66" s="15">
        <f>15712600000</f>
        <v>15712600000</v>
      </c>
      <c r="B66" s="16">
        <v>44096</v>
      </c>
      <c r="C66" s="17">
        <v>14.493</v>
      </c>
      <c r="D66" s="16">
        <v>45922</v>
      </c>
      <c r="E66" s="18" t="s">
        <v>9</v>
      </c>
    </row>
    <row r="67" spans="1:5" x14ac:dyDescent="0.25">
      <c r="A67" s="15">
        <f>12794200000</f>
        <v>12794200000</v>
      </c>
      <c r="B67" s="16">
        <v>44110</v>
      </c>
      <c r="C67" s="17">
        <v>14.388</v>
      </c>
      <c r="D67" s="16">
        <v>45936</v>
      </c>
      <c r="E67" s="18" t="s">
        <v>9</v>
      </c>
    </row>
    <row r="68" spans="1:5" x14ac:dyDescent="0.25">
      <c r="A68" s="15">
        <f>7742300000+5682220000+5000000000+13631500000+10937450000+9490750000</f>
        <v>52484220000</v>
      </c>
      <c r="B68" s="16">
        <v>44124</v>
      </c>
      <c r="C68" s="17">
        <v>14.369</v>
      </c>
      <c r="D68" s="16">
        <v>45950</v>
      </c>
      <c r="E68" s="18" t="s">
        <v>9</v>
      </c>
    </row>
    <row r="69" spans="1:5" x14ac:dyDescent="0.25">
      <c r="A69" s="15">
        <f>2250000000+2250000000+2250000000+2250000000+1750000000+1000000000+1750000000+1000000000+698500000+2000000000</f>
        <v>17198500000</v>
      </c>
      <c r="B69" s="16">
        <v>42318</v>
      </c>
      <c r="C69" s="17">
        <v>15.3</v>
      </c>
      <c r="D69" s="16">
        <v>45971</v>
      </c>
      <c r="E69" s="18" t="s">
        <v>8</v>
      </c>
    </row>
    <row r="70" spans="1:5" x14ac:dyDescent="0.25">
      <c r="A70" s="15">
        <f>8000000000+8049886000+17216050000+12232748000+4651547000+6451419000</f>
        <v>56601650000</v>
      </c>
      <c r="B70" s="16">
        <v>44208</v>
      </c>
      <c r="C70" s="17">
        <v>14.06</v>
      </c>
      <c r="D70" s="16">
        <v>46034</v>
      </c>
      <c r="E70" s="18" t="s">
        <v>9</v>
      </c>
    </row>
    <row r="71" spans="1:5" x14ac:dyDescent="0.25">
      <c r="A71" s="15">
        <f>322300000+500000000+1192000000+1000000000+713100000+1000000000+661000000+340000000+1358500000+1292150000+250000000+4097300000+1200000000+2213090000+2000000000+17625000</f>
        <v>18157065000</v>
      </c>
      <c r="B71" s="16">
        <v>43557</v>
      </c>
      <c r="C71" s="17">
        <v>16.5</v>
      </c>
      <c r="D71" s="16">
        <v>46114</v>
      </c>
      <c r="E71" s="18" t="s">
        <v>9</v>
      </c>
    </row>
    <row r="72" spans="1:5" x14ac:dyDescent="0.25">
      <c r="A72" s="15">
        <f>6066265000+7831200000+8142164000+10118813000+6058880000+8479978000+2983110000</f>
        <v>49680410000</v>
      </c>
      <c r="B72" s="16">
        <v>44292</v>
      </c>
      <c r="C72" s="17">
        <v>14.483000000000001</v>
      </c>
      <c r="D72" s="16">
        <v>46118</v>
      </c>
      <c r="E72" s="18" t="s">
        <v>9</v>
      </c>
    </row>
    <row r="73" spans="1:5" x14ac:dyDescent="0.25">
      <c r="A73" s="15">
        <f>550000000+800000000+500000000+500000000+500000000+250000000+250000000+250000000+730652000+252370000+250000000+250000000+370250000+278252000+350000000+367000000+250000000+250000000+458775000+250000000+750000000+339750000+1500000000</f>
        <v>10247049000</v>
      </c>
      <c r="B73" s="16">
        <v>42556</v>
      </c>
      <c r="C73" s="17">
        <v>17.149999999999999</v>
      </c>
      <c r="D73" s="16">
        <v>46208</v>
      </c>
      <c r="E73" s="18" t="s">
        <v>8</v>
      </c>
    </row>
    <row r="74" spans="1:5" x14ac:dyDescent="0.25">
      <c r="A74" s="15">
        <f>5538000000+1250000000+3000000000+1250000000+3526427000</f>
        <v>14564427000</v>
      </c>
      <c r="B74" s="16">
        <v>43683</v>
      </c>
      <c r="C74" s="17">
        <v>15.6</v>
      </c>
      <c r="D74" s="16">
        <v>46240</v>
      </c>
      <c r="E74" s="18" t="s">
        <v>9</v>
      </c>
    </row>
    <row r="75" spans="1:5" x14ac:dyDescent="0.25">
      <c r="A75" s="15">
        <f>3548500000+2709500000+1476000000+1766500000+494332000+2000000000</f>
        <v>11994832000</v>
      </c>
      <c r="B75" s="16">
        <v>43753</v>
      </c>
      <c r="C75" s="17">
        <v>14.217000000000001</v>
      </c>
      <c r="D75" s="16">
        <v>46310</v>
      </c>
      <c r="E75" s="18" t="s">
        <v>9</v>
      </c>
    </row>
    <row r="76" spans="1:5" x14ac:dyDescent="0.25">
      <c r="A76" s="15">
        <f>4302900000+2399731000+208950000+3250000000+791715000+1200550000</f>
        <v>12153846000</v>
      </c>
      <c r="B76" s="16">
        <v>43837</v>
      </c>
      <c r="C76" s="17">
        <v>13.771000000000001</v>
      </c>
      <c r="D76" s="16">
        <v>46394</v>
      </c>
      <c r="E76" s="18" t="s">
        <v>9</v>
      </c>
    </row>
    <row r="77" spans="1:5" x14ac:dyDescent="0.25">
      <c r="A77" s="15">
        <f>1000000000</f>
        <v>1000000000</v>
      </c>
      <c r="B77" s="16">
        <v>43921</v>
      </c>
      <c r="C77" s="17">
        <v>14</v>
      </c>
      <c r="D77" s="16">
        <v>46477</v>
      </c>
      <c r="E77" s="18" t="s">
        <v>9</v>
      </c>
    </row>
    <row r="78" spans="1:5" x14ac:dyDescent="0.25">
      <c r="A78" s="15">
        <f>3250000000+214000000+249000000+12800000</f>
        <v>3725800000</v>
      </c>
      <c r="B78" s="16">
        <v>43935</v>
      </c>
      <c r="C78" s="17">
        <v>13.204000000000001</v>
      </c>
      <c r="D78" s="16">
        <v>46491</v>
      </c>
      <c r="E78" s="18" t="s">
        <v>9</v>
      </c>
    </row>
    <row r="79" spans="1:5" x14ac:dyDescent="0.25">
      <c r="A79" s="15">
        <f>300000000+330000000+1309100000+823175000+750000000+750000000+750000000+750000000+750000000+1000000000+1214800000+1098280000+1250000000+1047125000+500000000+2290000000</f>
        <v>14912480000</v>
      </c>
      <c r="B79" s="16">
        <v>42864</v>
      </c>
      <c r="C79" s="17">
        <v>17.18</v>
      </c>
      <c r="D79" s="16">
        <v>46516</v>
      </c>
      <c r="E79" s="18" t="s">
        <v>8</v>
      </c>
    </row>
    <row r="80" spans="1:5" x14ac:dyDescent="0.25">
      <c r="A80" s="15">
        <f>1229475000+8800000</f>
        <v>1238275000</v>
      </c>
      <c r="B80" s="16">
        <v>43991</v>
      </c>
      <c r="C80" s="17">
        <v>13.723000000000001</v>
      </c>
      <c r="D80" s="16">
        <v>46547</v>
      </c>
      <c r="E80" s="18" t="s">
        <v>9</v>
      </c>
    </row>
    <row r="81" spans="1:5" x14ac:dyDescent="0.25">
      <c r="A81" s="15">
        <f>1446800000+1634650000+1415350000+480350000+44800000+2826825000+3000000000</f>
        <v>10848775000</v>
      </c>
      <c r="B81" s="16">
        <v>44019</v>
      </c>
      <c r="C81" s="17">
        <v>14.406000000000001</v>
      </c>
      <c r="D81" s="16">
        <v>46575</v>
      </c>
      <c r="E81" s="18" t="s">
        <v>9</v>
      </c>
    </row>
    <row r="82" spans="1:5" x14ac:dyDescent="0.25">
      <c r="A82" s="15">
        <f>8551650000+1576700000+5468446000+3839000000+4553550000+7500000000</f>
        <v>31489346000</v>
      </c>
      <c r="B82" s="16">
        <v>44117</v>
      </c>
      <c r="C82" s="17">
        <v>14.555999999999999</v>
      </c>
      <c r="D82" s="16">
        <v>46673</v>
      </c>
      <c r="E82" s="18" t="s">
        <v>9</v>
      </c>
    </row>
    <row r="83" spans="1:5" x14ac:dyDescent="0.25">
      <c r="A83" s="15">
        <f>986000000+1473232000+1250000000+1000000000+1000000000+776210000+847289000+703000000+532580000+1504930000+1000000000+470600000+290000000+492300000+1323180000</f>
        <v>13649321000</v>
      </c>
      <c r="B83" s="16">
        <v>43046</v>
      </c>
      <c r="C83" s="17">
        <v>15.7</v>
      </c>
      <c r="D83" s="16">
        <v>46698</v>
      </c>
      <c r="E83" s="18" t="s">
        <v>8</v>
      </c>
    </row>
    <row r="84" spans="1:5" x14ac:dyDescent="0.25">
      <c r="A84" s="15">
        <f>1306939000+6447500000+7000000000+5762500000+342000000+8256470000+607050000</f>
        <v>29722459000</v>
      </c>
      <c r="B84" s="16">
        <v>44201</v>
      </c>
      <c r="C84" s="17">
        <v>14.292</v>
      </c>
      <c r="D84" s="16">
        <v>46757</v>
      </c>
      <c r="E84" s="18" t="s">
        <v>9</v>
      </c>
    </row>
    <row r="85" spans="1:5" x14ac:dyDescent="0.25">
      <c r="A85" s="15">
        <f>525800000+2242242000+1098788000+1092392000+587121000+3682171000</f>
        <v>9228514000</v>
      </c>
      <c r="B85" s="16">
        <v>44299</v>
      </c>
      <c r="C85" s="17">
        <v>14.551</v>
      </c>
      <c r="D85" s="16">
        <v>46856</v>
      </c>
      <c r="E85" s="18" t="s">
        <v>9</v>
      </c>
    </row>
    <row r="86" spans="1:5" x14ac:dyDescent="0.25">
      <c r="A86" s="15">
        <f>1041185000+803000000+800025000+1051875000+500000000+974000000</f>
        <v>5170085000</v>
      </c>
      <c r="B86" s="16">
        <v>43228</v>
      </c>
      <c r="C86" s="17">
        <v>14.9</v>
      </c>
      <c r="D86" s="16">
        <v>46881</v>
      </c>
      <c r="E86" s="18" t="s">
        <v>9</v>
      </c>
    </row>
    <row r="87" spans="1:5" x14ac:dyDescent="0.25">
      <c r="A87" s="15">
        <f>500000000+218450000+1006600000+102760000+500000000+1030850000+977050000+286968000+500000000+400000000+1495000000+150000000+1700000000+208000000</f>
        <v>9075678000</v>
      </c>
      <c r="B87" s="16">
        <v>43410</v>
      </c>
      <c r="C87" s="17">
        <v>18</v>
      </c>
      <c r="D87" s="16">
        <v>47063</v>
      </c>
      <c r="E87" s="18" t="s">
        <v>9</v>
      </c>
    </row>
    <row r="88" spans="1:5" x14ac:dyDescent="0.25">
      <c r="A88" s="15">
        <f>402581000+1452725000+1547500000+2227165000+1250000000+450000000+2955297000+4183298000+1000000000+2000000000+1690000000+1000000000+1250000000+700000000</f>
        <v>22108566000</v>
      </c>
      <c r="B88" s="16">
        <v>43592</v>
      </c>
      <c r="C88" s="17">
        <v>16.100000000000001</v>
      </c>
      <c r="D88" s="16">
        <v>47245</v>
      </c>
      <c r="E88" s="18" t="s">
        <v>9</v>
      </c>
    </row>
    <row r="89" spans="1:5" x14ac:dyDescent="0.25">
      <c r="A89" s="15">
        <f>4500750000+2280450000+1501625000+3270195000+1750000000+371000000+290000000+2116940000</f>
        <v>16080960000</v>
      </c>
      <c r="B89" s="16">
        <v>43718</v>
      </c>
      <c r="C89" s="17">
        <v>14.4</v>
      </c>
      <c r="D89" s="16">
        <v>47371</v>
      </c>
      <c r="E89" s="18" t="s">
        <v>9</v>
      </c>
    </row>
    <row r="90" spans="1:5" x14ac:dyDescent="0.25">
      <c r="A90" s="15">
        <f>1750000000</f>
        <v>1750000000</v>
      </c>
      <c r="B90" s="16">
        <v>43830</v>
      </c>
      <c r="C90" s="17">
        <v>13.702999999999999</v>
      </c>
      <c r="D90" s="16">
        <v>47483</v>
      </c>
      <c r="E90" s="18" t="s">
        <v>9</v>
      </c>
    </row>
    <row r="91" spans="1:5" x14ac:dyDescent="0.25">
      <c r="A91" s="15">
        <f>5508290000+4129490000+2430190000+2952950000+77000000</f>
        <v>15097920000</v>
      </c>
      <c r="B91" s="16">
        <v>43844</v>
      </c>
      <c r="C91" s="17">
        <v>13.564</v>
      </c>
      <c r="D91" s="16">
        <v>47497</v>
      </c>
      <c r="E91" s="18" t="s">
        <v>9</v>
      </c>
    </row>
    <row r="92" spans="1:5" x14ac:dyDescent="0.25">
      <c r="A92" s="15">
        <f>3500000000+3000000000</f>
        <v>6500000000</v>
      </c>
      <c r="B92" s="16">
        <v>43914</v>
      </c>
      <c r="C92" s="17">
        <v>13.938000000000001</v>
      </c>
      <c r="D92" s="16">
        <v>47566</v>
      </c>
      <c r="E92" s="18" t="s">
        <v>9</v>
      </c>
    </row>
    <row r="93" spans="1:5" x14ac:dyDescent="0.25">
      <c r="A93" s="15">
        <f>3000000000+112000000+50000000</f>
        <v>3162000000</v>
      </c>
      <c r="B93" s="16">
        <v>43942</v>
      </c>
      <c r="C93" s="17">
        <v>13.411</v>
      </c>
      <c r="D93" s="16">
        <v>47594</v>
      </c>
      <c r="E93" s="18" t="s">
        <v>9</v>
      </c>
    </row>
    <row r="94" spans="1:5" x14ac:dyDescent="0.25">
      <c r="A94" s="15">
        <f>10000000+1500000</f>
        <v>11500000</v>
      </c>
      <c r="B94" s="16">
        <v>43998</v>
      </c>
      <c r="C94" s="17">
        <v>13.8</v>
      </c>
      <c r="D94" s="16">
        <v>47650</v>
      </c>
      <c r="E94" s="18" t="s">
        <v>9</v>
      </c>
    </row>
    <row r="95" spans="1:5" x14ac:dyDescent="0.25">
      <c r="A95" s="15">
        <f>482200000+766200000+134800000+85000000+2095104000+6397000000</f>
        <v>9960304000</v>
      </c>
      <c r="B95" s="16">
        <v>44026</v>
      </c>
      <c r="C95" s="17">
        <v>14.425000000000001</v>
      </c>
      <c r="D95" s="16">
        <v>47678</v>
      </c>
      <c r="E95" s="18" t="s">
        <v>9</v>
      </c>
    </row>
    <row r="96" spans="1:5" x14ac:dyDescent="0.25">
      <c r="A96" s="15">
        <f>434650000+3500000000+3923600000+3688867000+2291000000+1029900000+5261000000</f>
        <v>20129017000</v>
      </c>
      <c r="B96" s="16">
        <v>44110</v>
      </c>
      <c r="C96" s="17">
        <v>14.664</v>
      </c>
      <c r="D96" s="16">
        <v>47762</v>
      </c>
      <c r="E96" s="18" t="s">
        <v>9</v>
      </c>
    </row>
    <row r="97" spans="1:7" x14ac:dyDescent="0.25">
      <c r="A97" s="15">
        <f>4092280000+739000000+3815800000+3733600000+1553006000+1306850000</f>
        <v>15240536000</v>
      </c>
      <c r="B97" s="16">
        <v>44208</v>
      </c>
      <c r="C97" s="17">
        <v>14.382</v>
      </c>
      <c r="D97" s="16">
        <v>47860</v>
      </c>
      <c r="E97" s="18" t="s">
        <v>9</v>
      </c>
    </row>
    <row r="98" spans="1:7" x14ac:dyDescent="0.25">
      <c r="A98" s="15">
        <f>3664150000+2529650000+257777000+489450000+2905383000+954250000+100950000</f>
        <v>10901610000</v>
      </c>
      <c r="B98" s="16">
        <v>44292</v>
      </c>
      <c r="C98" s="17">
        <v>14.82</v>
      </c>
      <c r="D98" s="16">
        <v>47944</v>
      </c>
      <c r="E98" s="18" t="s">
        <v>9</v>
      </c>
    </row>
    <row r="99" spans="1:7" x14ac:dyDescent="0.25">
      <c r="A99" s="15">
        <f>1000000000+112000000+108950000</f>
        <v>1220950000</v>
      </c>
      <c r="B99" s="16">
        <v>44040</v>
      </c>
      <c r="C99" s="17">
        <v>15.433</v>
      </c>
      <c r="D99" s="16">
        <v>49518</v>
      </c>
      <c r="E99" s="18" t="s">
        <v>9</v>
      </c>
    </row>
    <row r="100" spans="1:7" x14ac:dyDescent="0.25">
      <c r="A100" s="15">
        <f>695175000+191000000+1150000000</f>
        <v>2036175000</v>
      </c>
      <c r="B100" s="16">
        <v>44131</v>
      </c>
      <c r="C100" s="17">
        <v>15.342000000000001</v>
      </c>
      <c r="D100" s="16">
        <v>49609</v>
      </c>
      <c r="E100" s="18" t="s">
        <v>9</v>
      </c>
    </row>
    <row r="101" spans="1:7" x14ac:dyDescent="0.25">
      <c r="A101" s="15">
        <f>658750000+1000000000+210000000</f>
        <v>1868750000</v>
      </c>
      <c r="B101" s="16">
        <v>44222</v>
      </c>
      <c r="C101" s="17">
        <v>15.276</v>
      </c>
      <c r="D101" s="16">
        <v>49700</v>
      </c>
      <c r="E101" s="18" t="s">
        <v>9</v>
      </c>
    </row>
    <row r="102" spans="1:7" x14ac:dyDescent="0.25">
      <c r="A102" s="15">
        <f>424650000+659050000+528870000</f>
        <v>1612570000</v>
      </c>
      <c r="B102" s="16">
        <v>44313</v>
      </c>
      <c r="C102" s="17">
        <v>15.37</v>
      </c>
      <c r="D102" s="16">
        <v>49792</v>
      </c>
      <c r="E102" s="18" t="s">
        <v>9</v>
      </c>
    </row>
    <row r="103" spans="1:7" x14ac:dyDescent="0.25">
      <c r="A103" s="15"/>
      <c r="B103" s="19"/>
      <c r="C103" s="20"/>
      <c r="D103" s="19"/>
      <c r="E103" s="18"/>
    </row>
    <row r="104" spans="1:7" ht="20.25" x14ac:dyDescent="0.3">
      <c r="A104" s="21">
        <f>SUM(A8:A102)</f>
        <v>1362086743000</v>
      </c>
      <c r="B104" s="22"/>
      <c r="C104" s="23">
        <f>'[1]Latest W. Av. '!G175</f>
        <v>0.14912960555650895</v>
      </c>
      <c r="D104" s="22"/>
      <c r="E104" s="24"/>
    </row>
    <row r="105" spans="1:7" ht="20.25" x14ac:dyDescent="0.3">
      <c r="A105" s="21"/>
      <c r="B105" s="22"/>
      <c r="C105" s="23"/>
      <c r="D105" s="22"/>
      <c r="E105" s="24"/>
    </row>
    <row r="106" spans="1:7" ht="25.5" x14ac:dyDescent="0.35">
      <c r="A106" s="10" t="s">
        <v>13</v>
      </c>
      <c r="B106" s="8"/>
      <c r="C106" s="9"/>
      <c r="D106" s="8"/>
      <c r="E106" s="7"/>
      <c r="G106" s="25"/>
    </row>
    <row r="107" spans="1:7" x14ac:dyDescent="0.25">
      <c r="A107" s="7"/>
      <c r="B107" s="8"/>
      <c r="C107" s="9"/>
      <c r="D107" s="8"/>
      <c r="E107" s="7"/>
      <c r="G107" s="25"/>
    </row>
    <row r="108" spans="1:7" ht="23.25" x14ac:dyDescent="0.35">
      <c r="A108" s="12" t="s">
        <v>3</v>
      </c>
      <c r="B108" s="12" t="s">
        <v>14</v>
      </c>
      <c r="C108" s="12" t="s">
        <v>15</v>
      </c>
      <c r="D108" s="12" t="s">
        <v>6</v>
      </c>
      <c r="E108" s="12" t="s">
        <v>7</v>
      </c>
      <c r="G108" s="25"/>
    </row>
    <row r="109" spans="1:7" x14ac:dyDescent="0.25">
      <c r="A109" s="7"/>
      <c r="B109" s="8"/>
      <c r="C109" s="9"/>
      <c r="D109" s="8"/>
      <c r="E109" s="7"/>
    </row>
    <row r="110" spans="1:7" x14ac:dyDescent="0.25">
      <c r="A110" s="15">
        <f>1000000000+540000000+374700000+1629000000+1123000000+993500000</f>
        <v>5660200000</v>
      </c>
      <c r="B110" s="16">
        <v>44299</v>
      </c>
      <c r="C110" s="17">
        <v>13.691000000000001</v>
      </c>
      <c r="D110" s="16">
        <v>44845</v>
      </c>
      <c r="E110" s="18" t="s">
        <v>9</v>
      </c>
    </row>
    <row r="111" spans="1:7" x14ac:dyDescent="0.25">
      <c r="A111" s="7"/>
      <c r="B111" s="13"/>
      <c r="C111" s="9"/>
      <c r="D111" s="14"/>
      <c r="E111" s="7"/>
    </row>
    <row r="112" spans="1:7" ht="20.25" x14ac:dyDescent="0.3">
      <c r="A112" s="21">
        <f>SUM(A110:A110)</f>
        <v>5660200000</v>
      </c>
      <c r="B112" s="26"/>
      <c r="C112" s="23"/>
      <c r="D112" s="27"/>
      <c r="E112" s="24"/>
    </row>
    <row r="113" spans="1:7" ht="20.25" x14ac:dyDescent="0.3">
      <c r="A113" s="21"/>
      <c r="B113" s="26"/>
      <c r="C113" s="23"/>
      <c r="D113" s="27"/>
      <c r="E113" s="24"/>
      <c r="G113" s="28"/>
    </row>
    <row r="114" spans="1:7" ht="20.25" x14ac:dyDescent="0.3">
      <c r="A114" s="21"/>
      <c r="B114" s="26"/>
      <c r="C114" s="23"/>
      <c r="D114" s="27"/>
      <c r="E114" s="24"/>
      <c r="G114" s="28"/>
    </row>
    <row r="115" spans="1:7" ht="25.5" x14ac:dyDescent="0.35">
      <c r="A115" s="10" t="s">
        <v>16</v>
      </c>
      <c r="B115" s="8"/>
      <c r="C115" s="9"/>
      <c r="D115" s="8"/>
      <c r="E115" s="7"/>
      <c r="G115" s="28"/>
    </row>
    <row r="116" spans="1:7" x14ac:dyDescent="0.25">
      <c r="A116" s="7"/>
      <c r="B116" s="8"/>
      <c r="C116" s="9"/>
      <c r="D116" s="8"/>
      <c r="E116" s="7"/>
      <c r="G116" s="28"/>
    </row>
    <row r="117" spans="1:7" ht="23.25" x14ac:dyDescent="0.35">
      <c r="A117" s="12" t="s">
        <v>3</v>
      </c>
      <c r="B117" s="12" t="s">
        <v>14</v>
      </c>
      <c r="C117" s="12" t="s">
        <v>5</v>
      </c>
      <c r="D117" s="12" t="s">
        <v>6</v>
      </c>
      <c r="E117" s="12" t="s">
        <v>7</v>
      </c>
      <c r="G117" s="28"/>
    </row>
    <row r="118" spans="1:7" x14ac:dyDescent="0.25">
      <c r="A118" s="7"/>
      <c r="B118" s="8"/>
      <c r="C118" s="9"/>
      <c r="D118" s="8"/>
      <c r="E118" s="7"/>
      <c r="G118" s="28"/>
    </row>
    <row r="119" spans="1:7" x14ac:dyDescent="0.25">
      <c r="A119" s="15">
        <v>1750000000</v>
      </c>
      <c r="B119" s="16">
        <v>42766</v>
      </c>
      <c r="C119" s="20">
        <v>6.125</v>
      </c>
      <c r="D119" s="16">
        <v>44592</v>
      </c>
      <c r="E119" s="18" t="s">
        <v>17</v>
      </c>
      <c r="G119" s="28"/>
    </row>
    <row r="120" spans="1:7" x14ac:dyDescent="0.25">
      <c r="A120" s="15">
        <v>750000000</v>
      </c>
      <c r="B120" s="16">
        <v>42884</v>
      </c>
      <c r="C120" s="20">
        <v>6.125</v>
      </c>
      <c r="D120" s="16">
        <v>44592</v>
      </c>
      <c r="E120" s="18" t="s">
        <v>17</v>
      </c>
      <c r="G120" s="28"/>
    </row>
    <row r="121" spans="1:7" x14ac:dyDescent="0.25">
      <c r="A121" s="15">
        <f>1250000000</f>
        <v>1250000000</v>
      </c>
      <c r="B121" s="16">
        <v>43152</v>
      </c>
      <c r="C121" s="20">
        <v>5.577</v>
      </c>
      <c r="D121" s="16">
        <v>44978</v>
      </c>
      <c r="E121" s="18" t="s">
        <v>18</v>
      </c>
      <c r="G121" s="28"/>
    </row>
    <row r="122" spans="1:7" x14ac:dyDescent="0.25">
      <c r="A122" s="15">
        <v>500000000</v>
      </c>
      <c r="B122" s="16">
        <v>43789</v>
      </c>
      <c r="C122" s="20">
        <v>4.55</v>
      </c>
      <c r="D122" s="16">
        <v>45250</v>
      </c>
      <c r="E122" s="18" t="s">
        <v>19</v>
      </c>
      <c r="G122" s="28"/>
    </row>
    <row r="123" spans="1:7" x14ac:dyDescent="0.25">
      <c r="A123" s="15">
        <v>750000000</v>
      </c>
      <c r="B123" s="16">
        <v>43522</v>
      </c>
      <c r="C123" s="20">
        <v>6.2004000000000001</v>
      </c>
      <c r="D123" s="16">
        <v>45352</v>
      </c>
      <c r="E123" s="18" t="s">
        <v>20</v>
      </c>
      <c r="G123" s="28"/>
    </row>
    <row r="124" spans="1:7" x14ac:dyDescent="0.25">
      <c r="A124" s="15">
        <v>1250000000</v>
      </c>
      <c r="B124" s="16">
        <v>43980</v>
      </c>
      <c r="C124" s="20">
        <v>5.75</v>
      </c>
      <c r="D124" s="16">
        <v>45441</v>
      </c>
      <c r="E124" s="18" t="s">
        <v>19</v>
      </c>
      <c r="G124" s="28"/>
    </row>
    <row r="125" spans="1:7" x14ac:dyDescent="0.25">
      <c r="A125" s="15">
        <v>1320000000</v>
      </c>
      <c r="B125" s="16">
        <v>42684</v>
      </c>
      <c r="C125" s="20">
        <v>6.75</v>
      </c>
      <c r="D125" s="16">
        <v>45606</v>
      </c>
      <c r="E125" s="18" t="s">
        <v>21</v>
      </c>
      <c r="G125" s="28"/>
    </row>
    <row r="126" spans="1:7" x14ac:dyDescent="0.25">
      <c r="A126" s="15">
        <v>1500000000</v>
      </c>
      <c r="B126" s="16">
        <v>42166</v>
      </c>
      <c r="C126" s="20">
        <v>5.875</v>
      </c>
      <c r="D126" s="16">
        <v>45819</v>
      </c>
      <c r="E126" s="18" t="s">
        <v>8</v>
      </c>
      <c r="G126" s="28"/>
    </row>
    <row r="127" spans="1:7" x14ac:dyDescent="0.25">
      <c r="A127" s="15">
        <v>860000000</v>
      </c>
      <c r="B127" s="16">
        <v>43423</v>
      </c>
      <c r="C127" s="20">
        <v>7.125</v>
      </c>
      <c r="D127" s="16">
        <v>46336</v>
      </c>
      <c r="E127" s="18" t="s">
        <v>20</v>
      </c>
      <c r="G127" s="28"/>
    </row>
    <row r="128" spans="1:7" x14ac:dyDescent="0.25">
      <c r="A128" s="15">
        <v>1000000000</v>
      </c>
      <c r="B128" s="16">
        <v>42766</v>
      </c>
      <c r="C128" s="20">
        <v>7.5</v>
      </c>
      <c r="D128" s="16">
        <v>46418</v>
      </c>
      <c r="E128" s="18" t="s">
        <v>17</v>
      </c>
      <c r="G128" s="28"/>
    </row>
    <row r="129" spans="1:7" x14ac:dyDescent="0.25">
      <c r="A129" s="15">
        <v>1000000000</v>
      </c>
      <c r="B129" s="16">
        <v>42884</v>
      </c>
      <c r="C129" s="20">
        <v>7.5</v>
      </c>
      <c r="D129" s="16">
        <v>46418</v>
      </c>
      <c r="E129" s="18" t="s">
        <v>17</v>
      </c>
      <c r="G129" s="28"/>
    </row>
    <row r="130" spans="1:7" x14ac:dyDescent="0.25">
      <c r="A130" s="15">
        <v>1250000000</v>
      </c>
      <c r="B130" s="16">
        <v>43152</v>
      </c>
      <c r="C130" s="20">
        <v>6.5880000000000001</v>
      </c>
      <c r="D130" s="16">
        <v>46804</v>
      </c>
      <c r="E130" s="18" t="s">
        <v>18</v>
      </c>
      <c r="G130" s="28"/>
    </row>
    <row r="131" spans="1:7" x14ac:dyDescent="0.25">
      <c r="A131" s="15">
        <v>1320000000</v>
      </c>
      <c r="B131" s="16">
        <v>42684</v>
      </c>
      <c r="C131" s="20">
        <v>7</v>
      </c>
      <c r="D131" s="16">
        <v>47067</v>
      </c>
      <c r="E131" s="18" t="s">
        <v>21</v>
      </c>
      <c r="G131" s="28"/>
    </row>
    <row r="132" spans="1:7" x14ac:dyDescent="0.25">
      <c r="A132" s="15">
        <v>1750000000</v>
      </c>
      <c r="B132" s="16">
        <v>43522</v>
      </c>
      <c r="C132" s="20">
        <v>7.6002999999999998</v>
      </c>
      <c r="D132" s="16">
        <v>47178</v>
      </c>
      <c r="E132" s="18" t="s">
        <v>20</v>
      </c>
      <c r="G132" s="28"/>
    </row>
    <row r="133" spans="1:7" x14ac:dyDescent="0.25">
      <c r="A133" s="15">
        <v>1710000000</v>
      </c>
      <c r="B133" s="16">
        <v>43423</v>
      </c>
      <c r="C133" s="20">
        <v>7.625</v>
      </c>
      <c r="D133" s="16">
        <v>47797</v>
      </c>
      <c r="E133" s="18" t="s">
        <v>20</v>
      </c>
      <c r="G133" s="28"/>
    </row>
    <row r="134" spans="1:7" x14ac:dyDescent="0.25">
      <c r="A134" s="15">
        <v>1000000000</v>
      </c>
      <c r="B134" s="16">
        <v>43789</v>
      </c>
      <c r="C134" s="20">
        <v>7.0529999999999999</v>
      </c>
      <c r="D134" s="16">
        <v>48228</v>
      </c>
      <c r="E134" s="18" t="s">
        <v>19</v>
      </c>
      <c r="G134" s="28"/>
    </row>
    <row r="135" spans="1:7" x14ac:dyDescent="0.25">
      <c r="A135" s="15">
        <v>1750000000</v>
      </c>
      <c r="B135" s="16">
        <v>43980</v>
      </c>
      <c r="C135" s="20">
        <v>7.625</v>
      </c>
      <c r="D135" s="16">
        <v>48363</v>
      </c>
      <c r="E135" s="18" t="s">
        <v>19</v>
      </c>
      <c r="G135" s="28"/>
    </row>
    <row r="136" spans="1:7" x14ac:dyDescent="0.25">
      <c r="A136" s="15">
        <v>500000000</v>
      </c>
      <c r="B136" s="16">
        <v>40298</v>
      </c>
      <c r="C136" s="20">
        <v>6.875</v>
      </c>
      <c r="D136" s="16">
        <v>51256</v>
      </c>
      <c r="E136" s="18" t="s">
        <v>22</v>
      </c>
      <c r="G136" s="28"/>
    </row>
    <row r="137" spans="1:7" x14ac:dyDescent="0.25">
      <c r="A137" s="15">
        <v>1250000000</v>
      </c>
      <c r="B137" s="16">
        <v>42766</v>
      </c>
      <c r="C137" s="20">
        <v>8.5</v>
      </c>
      <c r="D137" s="16">
        <v>53723</v>
      </c>
      <c r="E137" s="18" t="s">
        <v>17</v>
      </c>
      <c r="G137" s="28"/>
    </row>
    <row r="138" spans="1:7" x14ac:dyDescent="0.25">
      <c r="A138" s="15">
        <v>1250000000</v>
      </c>
      <c r="B138" s="16">
        <v>42884</v>
      </c>
      <c r="C138" s="20">
        <v>8.5</v>
      </c>
      <c r="D138" s="16">
        <v>53723</v>
      </c>
      <c r="E138" s="18" t="s">
        <v>17</v>
      </c>
      <c r="G138" s="28"/>
    </row>
    <row r="139" spans="1:7" x14ac:dyDescent="0.25">
      <c r="A139" s="15">
        <v>1500000000</v>
      </c>
      <c r="B139" s="16">
        <v>43152</v>
      </c>
      <c r="C139" s="20">
        <v>7.9029999999999996</v>
      </c>
      <c r="D139" s="16">
        <v>54109</v>
      </c>
      <c r="E139" s="18" t="s">
        <v>18</v>
      </c>
      <c r="G139" s="28"/>
    </row>
    <row r="140" spans="1:7" x14ac:dyDescent="0.25">
      <c r="A140" s="15">
        <v>1500000000</v>
      </c>
      <c r="B140" s="16">
        <v>43522</v>
      </c>
      <c r="C140" s="20">
        <v>8.7002000000000006</v>
      </c>
      <c r="D140" s="16">
        <v>54483</v>
      </c>
      <c r="E140" s="18" t="s">
        <v>20</v>
      </c>
      <c r="G140" s="28"/>
    </row>
    <row r="141" spans="1:7" x14ac:dyDescent="0.25">
      <c r="A141" s="15">
        <f>2000000000</f>
        <v>2000000000</v>
      </c>
      <c r="B141" s="16">
        <v>43980</v>
      </c>
      <c r="C141" s="20">
        <v>8.875</v>
      </c>
      <c r="D141" s="16">
        <v>54937</v>
      </c>
      <c r="E141" s="18" t="s">
        <v>19</v>
      </c>
      <c r="G141" s="28"/>
    </row>
    <row r="142" spans="1:7" x14ac:dyDescent="0.25">
      <c r="A142" s="15">
        <v>500000000</v>
      </c>
      <c r="B142" s="16">
        <v>43789</v>
      </c>
      <c r="C142" s="20">
        <v>8.15</v>
      </c>
      <c r="D142" s="16">
        <v>58399</v>
      </c>
      <c r="E142" s="18" t="s">
        <v>19</v>
      </c>
      <c r="G142" s="28"/>
    </row>
    <row r="143" spans="1:7" x14ac:dyDescent="0.25">
      <c r="A143" s="7"/>
      <c r="B143" s="13"/>
      <c r="C143" s="9"/>
      <c r="D143" s="14"/>
      <c r="E143" s="7"/>
      <c r="G143" s="28"/>
    </row>
    <row r="144" spans="1:7" ht="20.25" x14ac:dyDescent="0.3">
      <c r="A144" s="21">
        <f>SUM(A119:A142)</f>
        <v>29210000000</v>
      </c>
      <c r="B144" s="26"/>
      <c r="C144" s="23">
        <f>'[1]Latest W. Av. '!G268</f>
        <v>7.219269941800753E-2</v>
      </c>
      <c r="D144" s="27"/>
      <c r="E144" s="24"/>
      <c r="G144" s="28"/>
    </row>
    <row r="145" spans="1:7" x14ac:dyDescent="0.25">
      <c r="A145" s="7"/>
      <c r="B145" s="13"/>
      <c r="C145" s="9"/>
      <c r="D145" s="14"/>
      <c r="E145" s="7"/>
    </row>
    <row r="146" spans="1:7" x14ac:dyDescent="0.25">
      <c r="A146" s="29" t="s">
        <v>23</v>
      </c>
      <c r="B146" s="13"/>
      <c r="C146" s="9"/>
      <c r="D146" s="14"/>
      <c r="E146" s="7"/>
    </row>
    <row r="147" spans="1:7" x14ac:dyDescent="0.25">
      <c r="A147" s="29" t="s">
        <v>24</v>
      </c>
      <c r="B147" s="13"/>
      <c r="C147" s="9"/>
      <c r="D147" s="14"/>
      <c r="E147" s="7"/>
    </row>
    <row r="148" spans="1:7" x14ac:dyDescent="0.25">
      <c r="A148" s="29" t="s">
        <v>25</v>
      </c>
      <c r="B148" s="13"/>
      <c r="C148" s="9"/>
      <c r="D148" s="14"/>
      <c r="E148" s="7"/>
      <c r="G148" s="28"/>
    </row>
    <row r="149" spans="1:7" x14ac:dyDescent="0.25">
      <c r="B149" s="30"/>
      <c r="D149" s="31"/>
      <c r="G149" s="28"/>
    </row>
    <row r="150" spans="1:7" x14ac:dyDescent="0.25">
      <c r="B150" s="30"/>
      <c r="D150" s="31"/>
      <c r="G150" s="28"/>
    </row>
    <row r="151" spans="1:7" ht="25.5" x14ac:dyDescent="0.35">
      <c r="A151" s="10" t="s">
        <v>26</v>
      </c>
      <c r="B151" s="8"/>
      <c r="C151" s="9"/>
      <c r="D151" s="8"/>
      <c r="E151" s="7"/>
      <c r="G151" s="28"/>
    </row>
    <row r="152" spans="1:7" x14ac:dyDescent="0.25">
      <c r="A152" s="7"/>
      <c r="B152" s="8"/>
      <c r="C152" s="9"/>
      <c r="D152" s="8"/>
      <c r="E152" s="7"/>
      <c r="G152" s="28"/>
    </row>
    <row r="153" spans="1:7" ht="23.25" x14ac:dyDescent="0.35">
      <c r="A153" s="12" t="s">
        <v>3</v>
      </c>
      <c r="B153" s="12" t="s">
        <v>14</v>
      </c>
      <c r="C153" s="12" t="s">
        <v>5</v>
      </c>
      <c r="D153" s="12" t="s">
        <v>6</v>
      </c>
      <c r="E153" s="12" t="s">
        <v>7</v>
      </c>
      <c r="G153" s="28"/>
    </row>
    <row r="154" spans="1:7" x14ac:dyDescent="0.25">
      <c r="A154" s="15"/>
      <c r="B154" s="16"/>
      <c r="C154" s="17"/>
      <c r="D154" s="16"/>
      <c r="E154" s="18"/>
      <c r="G154" s="28"/>
    </row>
    <row r="155" spans="1:7" x14ac:dyDescent="0.25">
      <c r="A155" s="15">
        <v>750000000</v>
      </c>
      <c r="B155" s="16">
        <v>43566</v>
      </c>
      <c r="C155" s="17">
        <v>4.75</v>
      </c>
      <c r="D155" s="16">
        <v>45758</v>
      </c>
      <c r="E155" s="18" t="s">
        <v>27</v>
      </c>
    </row>
    <row r="156" spans="1:7" x14ac:dyDescent="0.25">
      <c r="A156" s="15">
        <v>1000000000</v>
      </c>
      <c r="B156" s="16">
        <v>43206</v>
      </c>
      <c r="C156" s="17">
        <v>4.75</v>
      </c>
      <c r="D156" s="16">
        <v>46128</v>
      </c>
      <c r="E156" s="18" t="s">
        <v>28</v>
      </c>
    </row>
    <row r="157" spans="1:7" x14ac:dyDescent="0.25">
      <c r="A157" s="15">
        <v>1000000000</v>
      </c>
      <c r="B157" s="16">
        <v>43206</v>
      </c>
      <c r="C157" s="17">
        <v>5.625</v>
      </c>
      <c r="D157" s="16">
        <v>47589</v>
      </c>
      <c r="E157" s="18" t="s">
        <v>28</v>
      </c>
    </row>
    <row r="158" spans="1:7" x14ac:dyDescent="0.25">
      <c r="A158" s="15">
        <v>1250000000</v>
      </c>
      <c r="B158" s="16">
        <v>43566</v>
      </c>
      <c r="C158" s="17">
        <v>6.375</v>
      </c>
      <c r="D158" s="16">
        <v>47949</v>
      </c>
      <c r="E158" s="18" t="s">
        <v>27</v>
      </c>
    </row>
    <row r="159" spans="1:7" x14ac:dyDescent="0.25">
      <c r="A159" s="15"/>
      <c r="B159" s="16"/>
      <c r="C159" s="17"/>
      <c r="D159" s="16"/>
      <c r="E159" s="18"/>
    </row>
    <row r="160" spans="1:7" ht="20.25" x14ac:dyDescent="0.3">
      <c r="A160" s="21">
        <f>SUM(A155:A159)</f>
        <v>4000000000</v>
      </c>
      <c r="B160" s="26"/>
      <c r="C160" s="23">
        <f>'[1]Latest W. Av. '!G283</f>
        <v>5.4765624999999998E-2</v>
      </c>
      <c r="D160" s="27"/>
      <c r="E160" s="24"/>
    </row>
    <row r="162" spans="1:1" x14ac:dyDescent="0.25">
      <c r="A162" s="29" t="s">
        <v>29</v>
      </c>
    </row>
    <row r="163" spans="1:1" x14ac:dyDescent="0.25">
      <c r="A163" s="29" t="s">
        <v>30</v>
      </c>
    </row>
  </sheetData>
  <mergeCells count="2">
    <mergeCell ref="A2:E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2021-07-14T11:10:43Z</dcterms:created>
  <dcterms:modified xsi:type="dcterms:W3CDTF">2021-07-14T11:11:37Z</dcterms:modified>
</cp:coreProperties>
</file>