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8_{80BA0858-C276-41E0-B93E-DCA3F5A4CD0C}" xr6:coauthVersionLast="47" xr6:coauthVersionMax="47" xr10:uidLastSave="{00000000-0000-0000-0000-000000000000}"/>
  <bookViews>
    <workbookView xWindow="-120" yWindow="-120" windowWidth="29040" windowHeight="15840" xr2:uid="{00A7FD96-36B0-4DB5-B575-44CAA493EE23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5" i="1" l="1"/>
  <c r="A255" i="1"/>
  <c r="C244" i="1"/>
  <c r="A244" i="1"/>
  <c r="C228" i="1"/>
  <c r="A228" i="1"/>
  <c r="A223" i="1"/>
  <c r="A198" i="1"/>
  <c r="C191" i="1"/>
  <c r="A191" i="1"/>
  <c r="A185" i="1"/>
  <c r="A184" i="1"/>
  <c r="A183" i="1"/>
  <c r="A182" i="1"/>
  <c r="A181" i="1"/>
  <c r="A180" i="1"/>
  <c r="A178" i="1"/>
  <c r="A177" i="1"/>
  <c r="A176" i="1"/>
  <c r="A175" i="1"/>
  <c r="A174" i="1"/>
  <c r="A173" i="1"/>
  <c r="A172" i="1"/>
  <c r="A171" i="1"/>
  <c r="A170" i="1"/>
  <c r="C164" i="1"/>
  <c r="A162" i="1"/>
  <c r="A160" i="1"/>
  <c r="A159" i="1"/>
  <c r="A158" i="1"/>
  <c r="A157" i="1"/>
  <c r="A156" i="1"/>
  <c r="A155" i="1"/>
  <c r="A154" i="1"/>
  <c r="A153" i="1"/>
  <c r="A152" i="1"/>
  <c r="A151" i="1"/>
  <c r="A149" i="1"/>
  <c r="A148" i="1"/>
  <c r="A144" i="1"/>
  <c r="A143" i="1"/>
  <c r="A142" i="1"/>
  <c r="A141" i="1"/>
  <c r="A140" i="1"/>
  <c r="A139" i="1"/>
  <c r="A138" i="1"/>
  <c r="A137" i="1"/>
  <c r="A136" i="1"/>
  <c r="A134" i="1"/>
  <c r="A133" i="1"/>
  <c r="A132" i="1"/>
  <c r="A131" i="1"/>
  <c r="A130" i="1"/>
  <c r="A129" i="1"/>
  <c r="A128" i="1"/>
  <c r="A127" i="1"/>
  <c r="A126" i="1"/>
  <c r="A125" i="1"/>
  <c r="A124" i="1"/>
  <c r="A121" i="1"/>
  <c r="A120" i="1"/>
  <c r="A119" i="1"/>
  <c r="A116" i="1"/>
  <c r="A115" i="1"/>
  <c r="A114" i="1"/>
  <c r="A113" i="1"/>
  <c r="A112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5" i="1"/>
  <c r="A94" i="1"/>
  <c r="A93" i="1"/>
  <c r="A92" i="1"/>
  <c r="A91" i="1"/>
  <c r="A90" i="1"/>
  <c r="A89" i="1"/>
  <c r="A87" i="1"/>
  <c r="A86" i="1"/>
  <c r="A85" i="1"/>
  <c r="A84" i="1"/>
  <c r="A83" i="1"/>
  <c r="A82" i="1"/>
  <c r="A80" i="1"/>
  <c r="A79" i="1"/>
  <c r="A78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2" i="1"/>
  <c r="A11" i="1"/>
  <c r="A10" i="1"/>
  <c r="A9" i="1"/>
  <c r="A164" i="1" s="1"/>
  <c r="J74" i="1" s="1"/>
  <c r="A8" i="1"/>
</calcChain>
</file>

<file path=xl/sharedStrings.xml><?xml version="1.0" encoding="utf-8"?>
<sst xmlns="http://schemas.openxmlformats.org/spreadsheetml/2006/main" count="248" uniqueCount="34">
  <si>
    <t>Ministry of Finance</t>
  </si>
  <si>
    <t>Government Bonds Outstanding as at June 30, 2022</t>
  </si>
  <si>
    <t xml:space="preserve">A-Egyptian Pounds </t>
  </si>
  <si>
    <t>Nominal Amount</t>
  </si>
  <si>
    <t>Issue date</t>
  </si>
  <si>
    <t>Coupon</t>
  </si>
  <si>
    <t>Maturity</t>
  </si>
  <si>
    <t>Rating</t>
  </si>
  <si>
    <t>B</t>
  </si>
  <si>
    <t>B-</t>
  </si>
  <si>
    <t>CCC+</t>
  </si>
  <si>
    <t>BBB-</t>
  </si>
  <si>
    <t xml:space="preserve">      B-Zero Coupon Bond</t>
  </si>
  <si>
    <t>Issue Date</t>
  </si>
  <si>
    <t>W.A. Yield</t>
  </si>
  <si>
    <t>C-Eurobond (US Dollars)</t>
  </si>
  <si>
    <t>B*/B-***</t>
  </si>
  <si>
    <t>B+*/B***</t>
  </si>
  <si>
    <t>B*/B***</t>
  </si>
  <si>
    <t>B*</t>
  </si>
  <si>
    <t>B*/B3**</t>
  </si>
  <si>
    <t>BB+</t>
  </si>
  <si>
    <t>*/ According to Fitch rating</t>
  </si>
  <si>
    <t>**/According to Moodys rating</t>
  </si>
  <si>
    <t>***/According to S&amp;P rating</t>
  </si>
  <si>
    <t>Green Bond</t>
  </si>
  <si>
    <t>D-Eurobond (Euro)</t>
  </si>
  <si>
    <t>B*/B+**</t>
  </si>
  <si>
    <t>B-*/B**</t>
  </si>
  <si>
    <t>*/According to S&amp;P rating</t>
  </si>
  <si>
    <t>**/According to Fitch rating</t>
  </si>
  <si>
    <t>E-Eurobond (Yen)</t>
  </si>
  <si>
    <t>AA(JCR)*</t>
  </si>
  <si>
    <t>*/According to JCR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</si>
</sst>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[$-409]d\-mmm\-yyyy;@"/>
    <numFmt numFmtId="166" formatCode="0.000"/>
    <numFmt numFmtId="167" formatCode="[$-409]d\-mmm\-yy;@"/>
    <numFmt numFmtId="168" formatCode="0.000%"/>
  </numFmts>
  <fonts count="9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b/>
      <sz val="24"/>
      <color rgb="FF002060"/>
      <name val="Arial Narrow"/>
      <family val="2"/>
    </font>
    <font>
      <b/>
      <sz val="18"/>
      <color rgb="FF002060"/>
      <name val="Arial Narrow"/>
      <family val="2"/>
    </font>
    <font>
      <sz val="12"/>
      <color rgb="FF002060"/>
      <name val="Arial Narrow"/>
      <family val="2"/>
    </font>
    <font>
      <b/>
      <sz val="20"/>
      <color rgb="FF002060"/>
      <name val="Arial Narrow"/>
      <family val="2"/>
    </font>
    <font>
      <b/>
      <sz val="12"/>
      <color rgb="FF002060"/>
      <name val="Arial Narrow"/>
      <family val="2"/>
    </font>
    <font>
      <b/>
      <sz val="16"/>
      <color rgb="FF002060"/>
      <name val="Arial Narrow"/>
      <family val="2"/>
    </font>
    <font>
      <sz val="16"/>
      <color rgb="FF00206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" fontId="5" fillId="2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17" fontId="4" fillId="0" borderId="0" xfId="0" applyNumberFormat="1" applyFont="1" applyAlignment="1">
      <alignment horizontal="center"/>
    </xf>
    <xf numFmtId="15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3" fontId="1" fillId="0" borderId="0" xfId="0" applyNumberFormat="1" applyFont="1"/>
    <xf numFmtId="167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8" fillId="0" borderId="0" xfId="0" applyFont="1"/>
    <xf numFmtId="168" fontId="6" fillId="0" borderId="0" xfId="0" applyNumberFormat="1" applyFont="1" applyAlignment="1">
      <alignment horizontal="center"/>
    </xf>
    <xf numFmtId="4" fontId="8" fillId="0" borderId="0" xfId="0" applyNumberFormat="1" applyFont="1" applyAlignment="1">
      <alignment horizontal="center"/>
    </xf>
    <xf numFmtId="4" fontId="1" fillId="0" borderId="0" xfId="0" applyNumberFormat="1" applyFont="1"/>
    <xf numFmtId="17" fontId="8" fillId="0" borderId="0" xfId="0" applyNumberFormat="1" applyFont="1" applyAlignment="1">
      <alignment horizontal="center"/>
    </xf>
    <xf numFmtId="15" fontId="8" fillId="0" borderId="0" xfId="0" applyNumberFormat="1" applyFont="1" applyAlignment="1">
      <alignment horizontal="center"/>
    </xf>
    <xf numFmtId="3" fontId="6" fillId="3" borderId="0" xfId="0" applyNumberFormat="1" applyFont="1" applyFill="1" applyAlignment="1">
      <alignment horizontal="center"/>
    </xf>
    <xf numFmtId="165" fontId="6" fillId="3" borderId="0" xfId="0" applyNumberFormat="1" applyFont="1" applyFill="1" applyAlignment="1">
      <alignment horizontal="center"/>
    </xf>
    <xf numFmtId="164" fontId="6" fillId="3" borderId="0" xfId="0" applyNumberFormat="1" applyFont="1" applyFill="1" applyAlignment="1">
      <alignment horizontal="center"/>
    </xf>
    <xf numFmtId="4" fontId="6" fillId="3" borderId="0" xfId="0" applyNumberFormat="1" applyFont="1" applyFill="1" applyAlignment="1">
      <alignment horizontal="center"/>
    </xf>
    <xf numFmtId="3" fontId="6" fillId="0" borderId="0" xfId="0" applyNumberFormat="1" applyFont="1" applyAlignment="1">
      <alignment vertical="center"/>
    </xf>
    <xf numFmtId="3" fontId="6" fillId="3" borderId="0" xfId="0" applyNumberFormat="1" applyFont="1" applyFill="1" applyAlignment="1">
      <alignment vertical="center"/>
    </xf>
    <xf numFmtId="17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1285875</xdr:colOff>
      <xdr:row>2</xdr:row>
      <xdr:rowOff>9525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F8A7AF81-19D8-4E36-864A-37EED6D5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28587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bt/Nouran%20Youssef/word%20&amp;%20Excell%20Documents%20for%20the%20Web%20Site/Government%20Bills%20&amp;%20Bonds/Sarah%20since%20July%202011/Government%20Bonds%20Outstan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ernal Outstanding"/>
      <sheetName val="30 June 22"/>
      <sheetName val="Latest W. Av. "/>
      <sheetName val="31 May 22"/>
      <sheetName val="30 April 22"/>
      <sheetName val="31 March 22"/>
      <sheetName val="28 February 22"/>
      <sheetName val="31 January 2022"/>
      <sheetName val="31 December 21"/>
      <sheetName val="30 November 21"/>
      <sheetName val="31 October 21"/>
      <sheetName val="30 September 21"/>
      <sheetName val="31 August 21"/>
      <sheetName val="31 July 21"/>
      <sheetName val="30 June 21"/>
      <sheetName val="31 May 21"/>
      <sheetName val="30 April 21"/>
      <sheetName val="31 March 21"/>
      <sheetName val="28 Feb 21"/>
      <sheetName val="31 Jan 21"/>
      <sheetName val="31 Dec 20"/>
      <sheetName val="30 Nov 20"/>
      <sheetName val="31 Oct 20"/>
      <sheetName val="30 Sept 20"/>
      <sheetName val="31 Aug 20"/>
      <sheetName val="31 July 20"/>
      <sheetName val="30 June 20"/>
      <sheetName val="31 May 20"/>
      <sheetName val="30 April 20"/>
      <sheetName val="31 March 20"/>
      <sheetName val="29 Feb 20"/>
      <sheetName val="30 Jan 20"/>
      <sheetName val="31 Dec 19"/>
      <sheetName val="30 Nov 19"/>
      <sheetName val="31 Oct 19"/>
      <sheetName val="30 Sept 19"/>
      <sheetName val="31 Aug 19"/>
      <sheetName val="31 July 19"/>
      <sheetName val="30 June 19"/>
      <sheetName val="31 May 19"/>
      <sheetName val="30 April 19"/>
      <sheetName val="31 March 19"/>
      <sheetName val="28 Feb 19"/>
      <sheetName val="31 Jan 19"/>
      <sheetName val="31 Dec 18"/>
      <sheetName val="30 Nov 18"/>
      <sheetName val="31 Oct 2018"/>
      <sheetName val="30 Sept 2018"/>
      <sheetName val="31 August 2018"/>
      <sheetName val="31 July 2018"/>
      <sheetName val="30 June 2018"/>
      <sheetName val="31 May 2018"/>
      <sheetName val="30 April 2018"/>
      <sheetName val="27 March 2018"/>
      <sheetName val="28 February 2018"/>
      <sheetName val="31 January 2018"/>
      <sheetName val="31 December 2017"/>
      <sheetName val="30 November 2017"/>
      <sheetName val="31 October 2017"/>
      <sheetName val="30 September 2017"/>
      <sheetName val="31 August 2017"/>
      <sheetName val="31 July 2017"/>
      <sheetName val="30 June 2017"/>
      <sheetName val="31 May 2017"/>
      <sheetName val="30 April 2017"/>
      <sheetName val="31 March 2017"/>
      <sheetName val="28 February 2017"/>
      <sheetName val="31 January 2017"/>
      <sheetName val="31 December 2016"/>
      <sheetName val="30 November 2016"/>
      <sheetName val="31 October 2016"/>
      <sheetName val="30 September 2016"/>
      <sheetName val="31 August 2016"/>
      <sheetName val="31 July 2016"/>
      <sheetName val="30 June 2016"/>
      <sheetName val="31 May 2016"/>
      <sheetName val="30 April 2016"/>
      <sheetName val="31 March 2016"/>
      <sheetName val="29 February 2016"/>
      <sheetName val="31 January 2016"/>
      <sheetName val="31 December 2015"/>
      <sheetName val="30 November 2015"/>
      <sheetName val="31 October 2015"/>
      <sheetName val="30 September 2015"/>
      <sheetName val="31 August 2015"/>
      <sheetName val="31 July 2015"/>
      <sheetName val="30 June 2015"/>
      <sheetName val="31 May 2015"/>
      <sheetName val="30 April 2015"/>
      <sheetName val="31 March 2015"/>
      <sheetName val="28 February 2015"/>
      <sheetName val="31 January 2015"/>
      <sheetName val="31 December 2014"/>
      <sheetName val="30 November 2014"/>
      <sheetName val="31 October 2014"/>
      <sheetName val="30 September 2014"/>
      <sheetName val="31 August 2014"/>
      <sheetName val="31 July 2014"/>
      <sheetName val="30 June 2014"/>
      <sheetName val="31 May 2014"/>
      <sheetName val="30 April 2014"/>
      <sheetName val="31 March 2014"/>
      <sheetName val="28 Feb 2014"/>
      <sheetName val="31 Jan 2014"/>
      <sheetName val="31 Dec 2013"/>
      <sheetName val="30 Nov 2013"/>
      <sheetName val="31 Oct 2013"/>
      <sheetName val="30 September 2013"/>
      <sheetName val="31 August 2013"/>
      <sheetName val="31 July 2013"/>
      <sheetName val="30 June 2013"/>
      <sheetName val="31 May 2013"/>
      <sheetName val="30 April 2013"/>
      <sheetName val="31 March 2013"/>
      <sheetName val="28 Feb 2013"/>
      <sheetName val="31 Jan 2013"/>
      <sheetName val="31 Dec 2012"/>
      <sheetName val="30 Nov"/>
      <sheetName val="Oct 31"/>
      <sheetName val="Sept 30"/>
      <sheetName val="Aug 31"/>
      <sheetName val="July 31"/>
      <sheetName val="June 30"/>
      <sheetName val="May 31"/>
      <sheetName val="April 30"/>
      <sheetName val="March 31"/>
      <sheetName val="March 13"/>
      <sheetName val="Feb 28, 2012 (not accurate in %"/>
      <sheetName val="Jan 12"/>
      <sheetName val="6 Dec"/>
      <sheetName val="Nov 30, 2011 (not accurate in %"/>
      <sheetName val="Oct 25"/>
      <sheetName val="Sept 6"/>
      <sheetName val="Aug 23"/>
      <sheetName val="Aug 2"/>
      <sheetName val="July 26"/>
      <sheetName val="July 07"/>
      <sheetName val="Mar 31"/>
      <sheetName val="Feb 28"/>
      <sheetName val="Jan 30"/>
      <sheetName val="Dec 31"/>
      <sheetName val=" W. Av."/>
      <sheetName val="Nov 30"/>
      <sheetName val="Nov 23"/>
      <sheetName val="Nov 16"/>
      <sheetName val="Nov 09"/>
      <sheetName val="Nov 02"/>
      <sheetName val="October 19"/>
      <sheetName val="October 05"/>
      <sheetName val="Weighted Average"/>
      <sheetName val="as at Sep 28"/>
      <sheetName val="as at Sep 21"/>
      <sheetName val="as at Sep 14"/>
      <sheetName val="as at Sep 07"/>
      <sheetName val="as at Aug 31st"/>
      <sheetName val="as at Aug 17"/>
      <sheetName val="as at Aug 03"/>
      <sheetName val="as at July 20"/>
      <sheetName val="as at July 06"/>
      <sheetName val="as at June 15"/>
      <sheetName val="as at May 25, 2010"/>
      <sheetName val="as at May 18, 2010"/>
      <sheetName val="as at May 04, 2010"/>
      <sheetName val="as at April 20, 2010 "/>
      <sheetName val="as at April 06, 2010"/>
      <sheetName val="as at March 30,2010"/>
      <sheetName val="as at March 16,2010"/>
      <sheetName val="as at March 02"/>
      <sheetName val="As at Feb 16, 2010"/>
      <sheetName val="As at Feb 02, 2010"/>
      <sheetName val="As at Jan 19, 2010"/>
      <sheetName val="As at Jan 05, 2010"/>
      <sheetName val="As at December 29"/>
      <sheetName val="As at December 15"/>
      <sheetName val="As at December 08"/>
      <sheetName val="As at November 24"/>
      <sheetName val="As at November 10"/>
      <sheetName val="As at October 20"/>
      <sheetName val="As at October 13"/>
      <sheetName val="As at September 30"/>
      <sheetName val="As at Sep 15"/>
      <sheetName val="As at Aug 31"/>
    </sheetNames>
    <sheetDataSet>
      <sheetData sheetId="0" refreshError="1"/>
      <sheetData sheetId="1" refreshError="1"/>
      <sheetData sheetId="2">
        <row r="244">
          <cell r="G244">
            <v>0.14662860308228559</v>
          </cell>
        </row>
        <row r="310">
          <cell r="G310">
            <v>0.1370656479132932</v>
          </cell>
        </row>
        <row r="363">
          <cell r="G363">
            <v>7.1256540485238232E-2</v>
          </cell>
        </row>
        <row r="379">
          <cell r="G379">
            <v>5.4765624999999998E-2</v>
          </cell>
        </row>
        <row r="390">
          <cell r="G390">
            <v>8.5000000000000006E-3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6F8D-5C01-4460-898A-8C32A6AEE74D}">
  <dimension ref="A1:J258"/>
  <sheetViews>
    <sheetView tabSelected="1" workbookViewId="0">
      <selection sqref="A1:XFD1048576"/>
    </sheetView>
  </sheetViews>
  <sheetFormatPr defaultColWidth="9" defaultRowHeight="15.75" x14ac:dyDescent="0.25"/>
  <cols>
    <col min="1" max="1" width="42.42578125" style="1" customWidth="1"/>
    <col min="2" max="2" width="15.42578125" style="2" bestFit="1" customWidth="1"/>
    <col min="3" max="3" width="14.85546875" style="3" bestFit="1" customWidth="1"/>
    <col min="4" max="4" width="14.5703125" style="2" customWidth="1"/>
    <col min="5" max="5" width="11" style="1" bestFit="1" customWidth="1"/>
    <col min="6" max="6" width="9" style="4"/>
    <col min="7" max="7" width="19.5703125" style="4" customWidth="1"/>
    <col min="8" max="9" width="9" style="4"/>
    <col min="10" max="10" width="23.140625" style="4" bestFit="1" customWidth="1"/>
    <col min="11" max="16384" width="9" style="4"/>
  </cols>
  <sheetData>
    <row r="1" spans="1:6" ht="49.5" customHeight="1" x14ac:dyDescent="0.25"/>
    <row r="2" spans="1:6" ht="30.95" customHeight="1" x14ac:dyDescent="0.4">
      <c r="A2" s="5" t="s">
        <v>0</v>
      </c>
      <c r="B2" s="5"/>
      <c r="C2" s="5"/>
      <c r="D2" s="5"/>
      <c r="E2" s="5"/>
    </row>
    <row r="3" spans="1:6" ht="23.25" x14ac:dyDescent="0.35">
      <c r="A3" s="6" t="s">
        <v>1</v>
      </c>
      <c r="B3" s="6"/>
      <c r="C3" s="6"/>
      <c r="D3" s="6"/>
      <c r="E3" s="6"/>
      <c r="F3" s="6"/>
    </row>
    <row r="4" spans="1:6" x14ac:dyDescent="0.25">
      <c r="A4" s="7"/>
      <c r="B4" s="8"/>
      <c r="C4" s="9"/>
      <c r="D4" s="8"/>
      <c r="E4" s="7"/>
    </row>
    <row r="5" spans="1:6" ht="25.5" x14ac:dyDescent="0.35">
      <c r="A5" s="10" t="s">
        <v>2</v>
      </c>
      <c r="B5" s="8"/>
      <c r="C5" s="9"/>
      <c r="D5" s="8"/>
      <c r="E5" s="7"/>
    </row>
    <row r="6" spans="1:6" ht="23.25" x14ac:dyDescent="0.35">
      <c r="A6" s="11" t="s">
        <v>3</v>
      </c>
      <c r="B6" s="12" t="s">
        <v>4</v>
      </c>
      <c r="C6" s="12" t="s">
        <v>5</v>
      </c>
      <c r="D6" s="12" t="s">
        <v>6</v>
      </c>
      <c r="E6" s="12" t="s">
        <v>7</v>
      </c>
    </row>
    <row r="7" spans="1:6" x14ac:dyDescent="0.25">
      <c r="A7" s="7"/>
      <c r="B7" s="13"/>
      <c r="C7" s="9"/>
      <c r="D7" s="14"/>
      <c r="E7" s="7"/>
    </row>
    <row r="8" spans="1:6" x14ac:dyDescent="0.25">
      <c r="A8" s="15">
        <f>5397500000+1250000000+2000000000+1250000000+1000000000+2400000000+4681450000</f>
        <v>17978950000</v>
      </c>
      <c r="B8" s="16">
        <v>44033</v>
      </c>
      <c r="C8" s="17">
        <v>14.051</v>
      </c>
      <c r="D8" s="16">
        <v>44763</v>
      </c>
      <c r="E8" s="18" t="s">
        <v>8</v>
      </c>
    </row>
    <row r="9" spans="1:6" x14ac:dyDescent="0.25">
      <c r="A9" s="15">
        <f>1500000000+1750000000+2000000000+2000000000+2250000000+2250000000+2250000000+2250000000</f>
        <v>16250000000</v>
      </c>
      <c r="B9" s="16">
        <v>42227</v>
      </c>
      <c r="C9" s="17">
        <v>14.6</v>
      </c>
      <c r="D9" s="16">
        <v>44784</v>
      </c>
      <c r="E9" s="18" t="s">
        <v>9</v>
      </c>
    </row>
    <row r="10" spans="1:6" x14ac:dyDescent="0.25">
      <c r="A10" s="15">
        <f>750000000+750000000+1000000000+1000000000</f>
        <v>3500000000</v>
      </c>
      <c r="B10" s="16">
        <v>42962</v>
      </c>
      <c r="C10" s="17">
        <v>16.850000000000001</v>
      </c>
      <c r="D10" s="16">
        <v>44788</v>
      </c>
      <c r="E10" s="18" t="s">
        <v>9</v>
      </c>
    </row>
    <row r="11" spans="1:6" x14ac:dyDescent="0.25">
      <c r="A11" s="15">
        <f>3680000000+500000000+500000000+500000000+4105000000+2000000000+3266500000+500000000+2000000000+4526200000+1000000000+4743865000+4000000000+400000000+900000000</f>
        <v>32621565000</v>
      </c>
      <c r="B11" s="16">
        <v>43711</v>
      </c>
      <c r="C11" s="17">
        <v>14.3</v>
      </c>
      <c r="D11" s="16">
        <v>44807</v>
      </c>
      <c r="E11" s="18" t="s">
        <v>8</v>
      </c>
    </row>
    <row r="12" spans="1:6" x14ac:dyDescent="0.25">
      <c r="A12" s="15">
        <f>1336100000+1506000000+1250000000+1250000000+1500000000+1250000000+1250000000+1800040000</f>
        <v>11142140000</v>
      </c>
      <c r="B12" s="16">
        <v>43018</v>
      </c>
      <c r="C12" s="17">
        <v>15.16</v>
      </c>
      <c r="D12" s="16">
        <v>44844</v>
      </c>
      <c r="E12" s="18" t="s">
        <v>9</v>
      </c>
    </row>
    <row r="13" spans="1:6" x14ac:dyDescent="0.25">
      <c r="A13" s="15">
        <v>5000000000</v>
      </c>
      <c r="B13" s="16">
        <v>43753</v>
      </c>
      <c r="C13" s="17">
        <v>14.365</v>
      </c>
      <c r="D13" s="16">
        <v>44849</v>
      </c>
      <c r="E13" s="18" t="s">
        <v>8</v>
      </c>
    </row>
    <row r="14" spans="1:6" x14ac:dyDescent="0.25">
      <c r="A14" s="15">
        <f>3000000000+2500000000+6411450000</f>
        <v>11911450000</v>
      </c>
      <c r="B14" s="16">
        <v>44124</v>
      </c>
      <c r="C14" s="17">
        <v>14.138</v>
      </c>
      <c r="D14" s="16">
        <v>44854</v>
      </c>
      <c r="E14" s="18" t="s">
        <v>8</v>
      </c>
    </row>
    <row r="15" spans="1:6" x14ac:dyDescent="0.25">
      <c r="A15" s="15">
        <f>3500000000+10000000000+3012000000+2000000000</f>
        <v>18512000000</v>
      </c>
      <c r="B15" s="16">
        <v>43795</v>
      </c>
      <c r="C15" s="17">
        <v>13.863</v>
      </c>
      <c r="D15" s="16">
        <v>44891</v>
      </c>
      <c r="E15" s="18" t="s">
        <v>8</v>
      </c>
    </row>
    <row r="16" spans="1:6" x14ac:dyDescent="0.25">
      <c r="A16" s="15">
        <f>2250000000+2250000000+2000000000+1750000000+1750000000</f>
        <v>10000000000</v>
      </c>
      <c r="B16" s="16">
        <v>42339</v>
      </c>
      <c r="C16" s="17">
        <v>14.3</v>
      </c>
      <c r="D16" s="16">
        <v>44896</v>
      </c>
      <c r="E16" s="18" t="s">
        <v>9</v>
      </c>
    </row>
    <row r="17" spans="1:5" x14ac:dyDescent="0.25">
      <c r="A17" s="15">
        <f>500000000+1000000000+500000000+1000000000+500000000+500000000+500000000+500000000+500000000+1002900000+1500000000+1500000000+1500000000+500000000+1000000000+350000000+1224600000+315000000+4000000000+750000000+1000000000+715852000</f>
        <v>20858352000</v>
      </c>
      <c r="B17" s="16">
        <v>41275</v>
      </c>
      <c r="C17" s="17">
        <v>16.3</v>
      </c>
      <c r="D17" s="16">
        <v>44927</v>
      </c>
      <c r="E17" s="18" t="s">
        <v>9</v>
      </c>
    </row>
    <row r="18" spans="1:5" x14ac:dyDescent="0.25">
      <c r="A18" s="15">
        <f>3770000000+1900000000+4584606000</f>
        <v>10254606000</v>
      </c>
      <c r="B18" s="16">
        <v>43837</v>
      </c>
      <c r="C18" s="17">
        <v>13.721</v>
      </c>
      <c r="D18" s="16">
        <v>44933</v>
      </c>
      <c r="E18" s="18" t="s">
        <v>8</v>
      </c>
    </row>
    <row r="19" spans="1:5" x14ac:dyDescent="0.25">
      <c r="A19" s="15">
        <f>4331500000+5000000000+2317000000</f>
        <v>11648500000</v>
      </c>
      <c r="B19" s="16">
        <v>44215</v>
      </c>
      <c r="C19" s="17">
        <v>13.614000000000001</v>
      </c>
      <c r="D19" s="16">
        <v>44945</v>
      </c>
      <c r="E19" s="18" t="s">
        <v>8</v>
      </c>
    </row>
    <row r="20" spans="1:5" x14ac:dyDescent="0.25">
      <c r="A20" s="15">
        <f>80000000000</f>
        <v>80000000000</v>
      </c>
      <c r="B20" s="16">
        <v>43859</v>
      </c>
      <c r="C20" s="17">
        <v>14</v>
      </c>
      <c r="D20" s="16">
        <v>44955</v>
      </c>
      <c r="E20" s="18" t="s">
        <v>8</v>
      </c>
    </row>
    <row r="21" spans="1:5" x14ac:dyDescent="0.25">
      <c r="A21" s="15">
        <f>1550000000+1554150000+864700000+808150000+1438400000</f>
        <v>6215400000</v>
      </c>
      <c r="B21" s="16">
        <v>43130</v>
      </c>
      <c r="C21" s="17">
        <v>14.8</v>
      </c>
      <c r="D21" s="16">
        <v>44956</v>
      </c>
      <c r="E21" s="18" t="s">
        <v>9</v>
      </c>
    </row>
    <row r="22" spans="1:5" x14ac:dyDescent="0.25">
      <c r="A22" s="15">
        <f>8570485000+20000000000+3750000000+3189425000+5000000000+5000000000</f>
        <v>45509910000</v>
      </c>
      <c r="B22" s="16">
        <v>43865</v>
      </c>
      <c r="C22" s="17">
        <v>13.973000000000001</v>
      </c>
      <c r="D22" s="16">
        <v>44961</v>
      </c>
      <c r="E22" s="18" t="s">
        <v>8</v>
      </c>
    </row>
    <row r="23" spans="1:5" x14ac:dyDescent="0.25">
      <c r="A23" s="15">
        <f>1750000000+1750000000+1750000000+1250000000</f>
        <v>6500000000</v>
      </c>
      <c r="B23" s="16">
        <v>42409</v>
      </c>
      <c r="C23" s="17">
        <v>14.8</v>
      </c>
      <c r="D23" s="16">
        <v>44966</v>
      </c>
      <c r="E23" s="18" t="s">
        <v>9</v>
      </c>
    </row>
    <row r="24" spans="1:5" x14ac:dyDescent="0.25">
      <c r="A24" s="15">
        <f>16000000000</f>
        <v>16000000000</v>
      </c>
      <c r="B24" s="16">
        <v>43887</v>
      </c>
      <c r="C24" s="17">
        <v>13.9</v>
      </c>
      <c r="D24" s="16">
        <v>44983</v>
      </c>
      <c r="E24" s="18" t="s">
        <v>8</v>
      </c>
    </row>
    <row r="25" spans="1:5" x14ac:dyDescent="0.25">
      <c r="A25" s="15">
        <f>4000000000</f>
        <v>4000000000</v>
      </c>
      <c r="B25" s="16">
        <v>43907</v>
      </c>
      <c r="C25" s="17">
        <v>14.765000000000001</v>
      </c>
      <c r="D25" s="16">
        <v>45002</v>
      </c>
      <c r="E25" s="18" t="s">
        <v>8</v>
      </c>
    </row>
    <row r="26" spans="1:5" x14ac:dyDescent="0.25">
      <c r="A26" s="15">
        <f>1585305000+6000000000+2500000000+900000000</f>
        <v>10985305000</v>
      </c>
      <c r="B26" s="16">
        <v>43921</v>
      </c>
      <c r="C26" s="17">
        <v>13.901999999999999</v>
      </c>
      <c r="D26" s="16">
        <v>45016</v>
      </c>
      <c r="E26" s="18" t="s">
        <v>8</v>
      </c>
    </row>
    <row r="27" spans="1:5" x14ac:dyDescent="0.25">
      <c r="A27" s="15">
        <f>986000000+1867467000+1205000000+1978250000+2600000000+2978250000</f>
        <v>11614967000</v>
      </c>
      <c r="B27" s="16">
        <v>43200</v>
      </c>
      <c r="C27" s="17">
        <v>14.85</v>
      </c>
      <c r="D27" s="16">
        <v>45026</v>
      </c>
      <c r="E27" s="18" t="s">
        <v>9</v>
      </c>
    </row>
    <row r="28" spans="1:5" x14ac:dyDescent="0.25">
      <c r="A28" s="15">
        <f>3750000000+351030000+4000000000+3750000000+2000000000+5075660000</f>
        <v>18926690000</v>
      </c>
      <c r="B28" s="16">
        <v>43935</v>
      </c>
      <c r="C28" s="17">
        <v>13.08</v>
      </c>
      <c r="D28" s="16">
        <v>45030</v>
      </c>
      <c r="E28" s="18" t="s">
        <v>8</v>
      </c>
    </row>
    <row r="29" spans="1:5" x14ac:dyDescent="0.25">
      <c r="A29" s="15">
        <f>1337800000+3672150000+5000000000</f>
        <v>10009950000</v>
      </c>
      <c r="B29" s="16">
        <v>44307</v>
      </c>
      <c r="C29" s="17">
        <v>13.759</v>
      </c>
      <c r="D29" s="16">
        <v>45036</v>
      </c>
      <c r="E29" s="18" t="s">
        <v>8</v>
      </c>
    </row>
    <row r="30" spans="1:5" x14ac:dyDescent="0.25">
      <c r="A30" s="15">
        <f>5000000000</f>
        <v>5000000000</v>
      </c>
      <c r="B30" s="16">
        <v>43949</v>
      </c>
      <c r="C30" s="17">
        <v>13.398999999999999</v>
      </c>
      <c r="D30" s="16">
        <v>45044</v>
      </c>
      <c r="E30" s="18" t="s">
        <v>8</v>
      </c>
    </row>
    <row r="31" spans="1:5" x14ac:dyDescent="0.25">
      <c r="A31" s="15">
        <v>5000000000</v>
      </c>
      <c r="B31" s="16">
        <v>43956</v>
      </c>
      <c r="C31" s="17">
        <v>13.398999999999999</v>
      </c>
      <c r="D31" s="16">
        <v>45051</v>
      </c>
      <c r="E31" s="18" t="s">
        <v>8</v>
      </c>
    </row>
    <row r="32" spans="1:5" x14ac:dyDescent="0.25">
      <c r="A32" s="15">
        <v>3375000000</v>
      </c>
      <c r="B32" s="16">
        <v>43970</v>
      </c>
      <c r="C32" s="17">
        <v>13.375999999999999</v>
      </c>
      <c r="D32" s="16">
        <v>45065</v>
      </c>
      <c r="E32" s="18" t="s">
        <v>8</v>
      </c>
    </row>
    <row r="33" spans="1:5" x14ac:dyDescent="0.25">
      <c r="A33" s="15">
        <v>1684246000</v>
      </c>
      <c r="B33" s="16">
        <v>43977</v>
      </c>
      <c r="C33" s="17">
        <v>13.458</v>
      </c>
      <c r="D33" s="16">
        <v>45072</v>
      </c>
      <c r="E33" s="18" t="s">
        <v>8</v>
      </c>
    </row>
    <row r="34" spans="1:5" x14ac:dyDescent="0.25">
      <c r="A34" s="15">
        <f>2662920000+1000000000+402835000</f>
        <v>4065755000</v>
      </c>
      <c r="B34" s="16">
        <v>43991</v>
      </c>
      <c r="C34" s="17">
        <v>13.513999999999999</v>
      </c>
      <c r="D34" s="16">
        <v>45086</v>
      </c>
      <c r="E34" s="18" t="s">
        <v>8</v>
      </c>
    </row>
    <row r="35" spans="1:5" x14ac:dyDescent="0.25">
      <c r="A35" s="15">
        <f>5000000000</f>
        <v>5000000000</v>
      </c>
      <c r="B35" s="16">
        <v>44005</v>
      </c>
      <c r="C35" s="17">
        <v>13.882999999999999</v>
      </c>
      <c r="D35" s="16">
        <v>45100</v>
      </c>
      <c r="E35" s="18" t="s">
        <v>8</v>
      </c>
    </row>
    <row r="36" spans="1:5" x14ac:dyDescent="0.25">
      <c r="A36" s="15">
        <f>920000000+3638800000+1970080000+500000000+1274630000+1000000000+2021800000+3500000000</f>
        <v>14825310000</v>
      </c>
      <c r="B36" s="16">
        <v>43284</v>
      </c>
      <c r="C36" s="17">
        <v>17.649999999999999</v>
      </c>
      <c r="D36" s="16">
        <v>45110</v>
      </c>
      <c r="E36" s="18" t="s">
        <v>8</v>
      </c>
    </row>
    <row r="37" spans="1:5" x14ac:dyDescent="0.25">
      <c r="A37" s="15">
        <f>2880000000+5003750000</f>
        <v>7883750000</v>
      </c>
      <c r="B37" s="16">
        <v>44383</v>
      </c>
      <c r="C37" s="17">
        <v>13.725</v>
      </c>
      <c r="D37" s="16">
        <v>45113</v>
      </c>
      <c r="E37" s="18" t="s">
        <v>8</v>
      </c>
    </row>
    <row r="38" spans="1:5" x14ac:dyDescent="0.25">
      <c r="A38" s="15">
        <f>1020000000+4500000000+1000000000+1541600000+4500000000+6043990000+2350000000+8200000000+6654050000+4000000000</f>
        <v>39809640000</v>
      </c>
      <c r="B38" s="16">
        <v>44019</v>
      </c>
      <c r="C38" s="17">
        <v>14.196</v>
      </c>
      <c r="D38" s="16">
        <v>45114</v>
      </c>
      <c r="E38" s="18" t="s">
        <v>8</v>
      </c>
    </row>
    <row r="39" spans="1:5" x14ac:dyDescent="0.25">
      <c r="A39" s="15">
        <f>16880000000+15002500000</f>
        <v>31882500000</v>
      </c>
      <c r="B39" s="16">
        <v>44411</v>
      </c>
      <c r="C39" s="17">
        <v>13.727</v>
      </c>
      <c r="D39" s="16">
        <v>45141</v>
      </c>
      <c r="E39" s="18" t="s">
        <v>8</v>
      </c>
    </row>
    <row r="40" spans="1:5" x14ac:dyDescent="0.25">
      <c r="A40" s="15">
        <f>750000000+1000000000+500000000+560060000+500000000+451036000+558200000+500000000+250000000+250000000+418011000+350000000+350000000+350000000+350000000+500000000+350000000+512500000+1002455000+1350100000+1423080000+1500000000</f>
        <v>13775442000</v>
      </c>
      <c r="B40" s="16">
        <v>42591</v>
      </c>
      <c r="C40" s="17">
        <v>17.2</v>
      </c>
      <c r="D40" s="16">
        <v>45147</v>
      </c>
      <c r="E40" s="18" t="s">
        <v>9</v>
      </c>
    </row>
    <row r="41" spans="1:5" x14ac:dyDescent="0.25">
      <c r="A41" s="15">
        <f>30000000000</f>
        <v>30000000000</v>
      </c>
      <c r="B41" s="16">
        <v>44075</v>
      </c>
      <c r="C41" s="17">
        <v>15.75</v>
      </c>
      <c r="D41" s="16">
        <v>45170</v>
      </c>
      <c r="E41" s="18" t="s">
        <v>8</v>
      </c>
    </row>
    <row r="42" spans="1:5" x14ac:dyDescent="0.25">
      <c r="A42" s="15">
        <f>1500000000+1500000000</f>
        <v>3000000000</v>
      </c>
      <c r="B42" s="16">
        <v>41520</v>
      </c>
      <c r="C42" s="17">
        <v>15.96</v>
      </c>
      <c r="D42" s="16">
        <v>45172</v>
      </c>
      <c r="E42" s="18" t="s">
        <v>10</v>
      </c>
    </row>
    <row r="43" spans="1:5" x14ac:dyDescent="0.25">
      <c r="A43" s="15">
        <f>19190000000+15756800000</f>
        <v>34946800000</v>
      </c>
      <c r="B43" s="16">
        <v>44446</v>
      </c>
      <c r="C43" s="17">
        <v>13.659000000000001</v>
      </c>
      <c r="D43" s="16">
        <v>45176</v>
      </c>
      <c r="E43" s="18" t="s">
        <v>8</v>
      </c>
    </row>
    <row r="44" spans="1:5" x14ac:dyDescent="0.25">
      <c r="A44" s="15">
        <f>70000000000</f>
        <v>70000000000</v>
      </c>
      <c r="B44" s="16">
        <v>44082</v>
      </c>
      <c r="C44" s="17">
        <v>15.75</v>
      </c>
      <c r="D44" s="16">
        <v>45177</v>
      </c>
      <c r="E44" s="18" t="s">
        <v>8</v>
      </c>
    </row>
    <row r="45" spans="1:5" x14ac:dyDescent="0.25">
      <c r="A45" s="15">
        <f>459500000+4737000000</f>
        <v>5196500000</v>
      </c>
      <c r="B45" s="16">
        <v>44474</v>
      </c>
      <c r="C45" s="17">
        <v>13.696</v>
      </c>
      <c r="D45" s="16">
        <v>45204</v>
      </c>
      <c r="E45" s="18" t="s">
        <v>8</v>
      </c>
    </row>
    <row r="46" spans="1:5" x14ac:dyDescent="0.25">
      <c r="A46" s="15">
        <f>750000000+1314000000+750000000+204000000+1000000000+710116000+750000000+1080100000+1160000000+300000000+750000000+1920000000+275599000+2628000000+1305200000</f>
        <v>14897015000</v>
      </c>
      <c r="B46" s="16">
        <v>43382</v>
      </c>
      <c r="C46" s="17">
        <v>18.350000000000001</v>
      </c>
      <c r="D46" s="16">
        <v>45208</v>
      </c>
      <c r="E46" s="18" t="s">
        <v>8</v>
      </c>
    </row>
    <row r="47" spans="1:5" x14ac:dyDescent="0.25">
      <c r="A47" s="15">
        <f>5323800000+11934744000+9695080000+14778600000+4824000000+8671465000</f>
        <v>55227689000</v>
      </c>
      <c r="B47" s="16">
        <v>44117</v>
      </c>
      <c r="C47" s="17">
        <v>14.313000000000001</v>
      </c>
      <c r="D47" s="16">
        <v>45212</v>
      </c>
      <c r="E47" s="18" t="s">
        <v>8</v>
      </c>
    </row>
    <row r="48" spans="1:5" x14ac:dyDescent="0.25">
      <c r="A48" s="15">
        <f>2000000000</f>
        <v>2000000000</v>
      </c>
      <c r="B48" s="16">
        <v>44500</v>
      </c>
      <c r="C48" s="17">
        <v>13.743</v>
      </c>
      <c r="D48" s="16">
        <v>45230</v>
      </c>
      <c r="E48" s="18" t="s">
        <v>8</v>
      </c>
    </row>
    <row r="49" spans="1:5" x14ac:dyDescent="0.25">
      <c r="A49" s="15">
        <f>203000000+14203000000+802000000</f>
        <v>15208000000</v>
      </c>
      <c r="B49" s="16">
        <v>44502</v>
      </c>
      <c r="C49" s="17">
        <v>13.784000000000001</v>
      </c>
      <c r="D49" s="16">
        <v>45232</v>
      </c>
      <c r="E49" s="18" t="s">
        <v>8</v>
      </c>
    </row>
    <row r="50" spans="1:5" x14ac:dyDescent="0.25">
      <c r="A50" s="15">
        <f>1500000000+1500000000+978100000+1500000000+1500000000+2000000000+2000000000+1195130000+5000000000</f>
        <v>17173230000</v>
      </c>
      <c r="B50" s="16">
        <v>41555</v>
      </c>
      <c r="C50" s="17">
        <v>14</v>
      </c>
      <c r="D50" s="16">
        <v>45238</v>
      </c>
      <c r="E50" s="18" t="s">
        <v>10</v>
      </c>
    </row>
    <row r="51" spans="1:5" x14ac:dyDescent="0.25">
      <c r="A51" s="15">
        <f>3920000000+1030000000</f>
        <v>4950000000</v>
      </c>
      <c r="B51" s="16">
        <v>44544</v>
      </c>
      <c r="C51" s="17">
        <v>13.847</v>
      </c>
      <c r="D51" s="16">
        <v>45274</v>
      </c>
      <c r="E51" s="18" t="s">
        <v>8</v>
      </c>
    </row>
    <row r="52" spans="1:5" x14ac:dyDescent="0.25">
      <c r="A52" s="15">
        <f>2000000000</f>
        <v>2000000000</v>
      </c>
      <c r="B52" s="16">
        <v>44194</v>
      </c>
      <c r="C52" s="17">
        <v>13.63</v>
      </c>
      <c r="D52" s="16">
        <v>45289</v>
      </c>
      <c r="E52" s="18" t="s">
        <v>8</v>
      </c>
    </row>
    <row r="53" spans="1:5" x14ac:dyDescent="0.25">
      <c r="A53" s="15">
        <f>975350000+10012580000+3237450000+13617675000+7345550000+10087160000+8897655000</f>
        <v>54173420000</v>
      </c>
      <c r="B53" s="16">
        <v>44201</v>
      </c>
      <c r="C53" s="17">
        <v>13.765000000000001</v>
      </c>
      <c r="D53" s="16">
        <v>45296</v>
      </c>
      <c r="E53" s="18" t="s">
        <v>8</v>
      </c>
    </row>
    <row r="54" spans="1:5" x14ac:dyDescent="0.25">
      <c r="A54" s="15">
        <f>460000000+553277000+352750000+50000000+10000000</f>
        <v>1426027000</v>
      </c>
      <c r="B54" s="16">
        <v>44572</v>
      </c>
      <c r="C54" s="17">
        <v>13.797000000000001</v>
      </c>
      <c r="D54" s="16">
        <v>45302</v>
      </c>
      <c r="E54" s="18" t="s">
        <v>8</v>
      </c>
    </row>
    <row r="55" spans="1:5" x14ac:dyDescent="0.25">
      <c r="A55" s="15">
        <f>2000000000+2000000000+1000000000+1000000000+1036700000+2000000000</f>
        <v>9036700000</v>
      </c>
      <c r="B55" s="16">
        <v>41681</v>
      </c>
      <c r="C55" s="17">
        <v>14.9</v>
      </c>
      <c r="D55" s="16">
        <v>45333</v>
      </c>
      <c r="E55" s="18" t="s">
        <v>9</v>
      </c>
    </row>
    <row r="56" spans="1:5" x14ac:dyDescent="0.25">
      <c r="A56" s="15">
        <f>5000000000</f>
        <v>5000000000</v>
      </c>
      <c r="B56" s="16">
        <v>44255</v>
      </c>
      <c r="C56" s="17">
        <v>14.013999999999999</v>
      </c>
      <c r="D56" s="16">
        <v>45350</v>
      </c>
      <c r="E56" s="18" t="s">
        <v>8</v>
      </c>
    </row>
    <row r="57" spans="1:5" x14ac:dyDescent="0.25">
      <c r="A57" s="15">
        <f>389366000+3200600000+1000000000+1315650000+985000000+2203100000</f>
        <v>9093716000</v>
      </c>
      <c r="B57" s="16">
        <v>43564</v>
      </c>
      <c r="C57" s="17">
        <v>16.3</v>
      </c>
      <c r="D57" s="16">
        <v>45391</v>
      </c>
      <c r="E57" s="18" t="s">
        <v>8</v>
      </c>
    </row>
    <row r="58" spans="1:5" x14ac:dyDescent="0.25">
      <c r="A58" s="15">
        <f>9941135000+6542460000+7362645000+4181265000+7073405000+8750985000</f>
        <v>43851895000</v>
      </c>
      <c r="B58" s="16">
        <v>44299</v>
      </c>
      <c r="C58" s="17">
        <v>14.2</v>
      </c>
      <c r="D58" s="16">
        <v>45395</v>
      </c>
      <c r="E58" s="18" t="s">
        <v>8</v>
      </c>
    </row>
    <row r="59" spans="1:5" x14ac:dyDescent="0.25">
      <c r="A59" s="15">
        <f>491000000+940900000+745050000+750000000+750000000+750000000</f>
        <v>4426950000</v>
      </c>
      <c r="B59" s="16">
        <v>42885</v>
      </c>
      <c r="C59" s="17">
        <v>18.399999999999999</v>
      </c>
      <c r="D59" s="16">
        <v>45442</v>
      </c>
      <c r="E59" s="18" t="s">
        <v>9</v>
      </c>
    </row>
    <row r="60" spans="1:5" x14ac:dyDescent="0.25">
      <c r="A60" s="15">
        <f>1405750000+500000000+2000000000+1500000000+500000000+1000000000+1000000000+3000000000+1750000000+1750000000+1750000000</f>
        <v>16155750000</v>
      </c>
      <c r="B60" s="16">
        <v>41793</v>
      </c>
      <c r="C60" s="17">
        <v>15.55</v>
      </c>
      <c r="D60" s="16">
        <v>45446</v>
      </c>
      <c r="E60" s="18" t="s">
        <v>9</v>
      </c>
    </row>
    <row r="61" spans="1:5" x14ac:dyDescent="0.25">
      <c r="A61" s="15">
        <f>40000000000</f>
        <v>40000000000</v>
      </c>
      <c r="B61" s="16">
        <v>44376</v>
      </c>
      <c r="C61" s="17">
        <v>15.25</v>
      </c>
      <c r="D61" s="16">
        <v>45474</v>
      </c>
      <c r="E61" s="18" t="s">
        <v>8</v>
      </c>
    </row>
    <row r="62" spans="1:5" x14ac:dyDescent="0.25">
      <c r="A62" s="15">
        <f>1707600000+400000000+5814000000+1000000000+1500000000+500000000+6604550000+6000000000+2000000000+1197000000+9000000000+5000000000+2000000000+1250000000</f>
        <v>43973150000</v>
      </c>
      <c r="B62" s="16">
        <v>43648</v>
      </c>
      <c r="C62" s="17">
        <v>15.9</v>
      </c>
      <c r="D62" s="16">
        <v>45475</v>
      </c>
      <c r="E62" s="18" t="s">
        <v>8</v>
      </c>
    </row>
    <row r="63" spans="1:5" x14ac:dyDescent="0.25">
      <c r="A63" s="15">
        <f>8566890000+4067569000</f>
        <v>12634459000</v>
      </c>
      <c r="B63" s="16">
        <v>44390</v>
      </c>
      <c r="C63" s="17">
        <v>14.430999999999999</v>
      </c>
      <c r="D63" s="16">
        <v>45486</v>
      </c>
      <c r="E63" s="18" t="s">
        <v>8</v>
      </c>
    </row>
    <row r="64" spans="1:5" x14ac:dyDescent="0.25">
      <c r="A64" s="15">
        <f>6035600000+26667495000</f>
        <v>32703095000</v>
      </c>
      <c r="B64" s="16">
        <v>44418</v>
      </c>
      <c r="C64" s="17">
        <v>14.494</v>
      </c>
      <c r="D64" s="16">
        <v>45514</v>
      </c>
      <c r="E64" s="18" t="s">
        <v>8</v>
      </c>
    </row>
    <row r="65" spans="1:10" x14ac:dyDescent="0.25">
      <c r="A65" s="15">
        <f>126740000000</f>
        <v>126740000000</v>
      </c>
      <c r="B65" s="16">
        <v>44439</v>
      </c>
      <c r="C65" s="17">
        <v>15.25</v>
      </c>
      <c r="D65" s="16">
        <v>45535</v>
      </c>
      <c r="E65" s="18" t="s">
        <v>8</v>
      </c>
    </row>
    <row r="66" spans="1:10" x14ac:dyDescent="0.25">
      <c r="A66" s="15">
        <f>818945000+1488619000+1000000000+1039690000+800000000</f>
        <v>5147254000</v>
      </c>
      <c r="B66" s="16">
        <v>41891</v>
      </c>
      <c r="C66" s="17">
        <v>15.9</v>
      </c>
      <c r="D66" s="16">
        <v>45544</v>
      </c>
      <c r="E66" s="18" t="s">
        <v>9</v>
      </c>
    </row>
    <row r="67" spans="1:10" x14ac:dyDescent="0.25">
      <c r="A67" s="15">
        <f>5338000000+830000000+2000000000+3527265000+500000000+2000000000+600000000+500000000+5134367000+5000000000+2490000000+4213720000</f>
        <v>32133352000</v>
      </c>
      <c r="B67" s="16">
        <v>43718</v>
      </c>
      <c r="C67" s="17">
        <v>14.35</v>
      </c>
      <c r="D67" s="16">
        <v>45545</v>
      </c>
      <c r="E67" s="18" t="s">
        <v>8</v>
      </c>
    </row>
    <row r="68" spans="1:10" x14ac:dyDescent="0.25">
      <c r="A68" s="15">
        <f>27415740000+10562850000</f>
        <v>37978590000</v>
      </c>
      <c r="B68" s="16">
        <v>44453</v>
      </c>
      <c r="C68" s="17">
        <v>14.531000000000001</v>
      </c>
      <c r="D68" s="16">
        <v>45549</v>
      </c>
      <c r="E68" s="18" t="s">
        <v>8</v>
      </c>
    </row>
    <row r="69" spans="1:10" x14ac:dyDescent="0.25">
      <c r="A69" s="15">
        <f>3891775000+15589000000</f>
        <v>19480775000</v>
      </c>
      <c r="B69" s="16">
        <v>44481</v>
      </c>
      <c r="C69" s="17">
        <v>14.574</v>
      </c>
      <c r="D69" s="16">
        <v>45577</v>
      </c>
      <c r="E69" s="18" t="s">
        <v>8</v>
      </c>
    </row>
    <row r="70" spans="1:10" x14ac:dyDescent="0.25">
      <c r="A70" s="15">
        <f>5000000000</f>
        <v>5000000000</v>
      </c>
      <c r="B70" s="16">
        <v>43760</v>
      </c>
      <c r="C70" s="17">
        <v>14.339</v>
      </c>
      <c r="D70" s="16">
        <v>45587</v>
      </c>
      <c r="E70" s="18" t="s">
        <v>8</v>
      </c>
    </row>
    <row r="71" spans="1:10" x14ac:dyDescent="0.25">
      <c r="A71" s="15">
        <f>24588700000+3490395000</f>
        <v>28079095000</v>
      </c>
      <c r="B71" s="16">
        <v>44509</v>
      </c>
      <c r="C71" s="17">
        <v>14.641</v>
      </c>
      <c r="D71" s="16">
        <v>45605</v>
      </c>
      <c r="E71" s="18" t="s">
        <v>8</v>
      </c>
    </row>
    <row r="72" spans="1:10" x14ac:dyDescent="0.25">
      <c r="A72" s="15">
        <f>326000000+693587000+100000000+2440000000+2000000000</f>
        <v>5559587000</v>
      </c>
      <c r="B72" s="16">
        <v>43788</v>
      </c>
      <c r="C72" s="17">
        <v>13.837</v>
      </c>
      <c r="D72" s="16">
        <v>45615</v>
      </c>
      <c r="E72" s="18" t="s">
        <v>8</v>
      </c>
    </row>
    <row r="73" spans="1:10" x14ac:dyDescent="0.25">
      <c r="A73" s="15">
        <f>9500000000+10000000000</f>
        <v>19500000000</v>
      </c>
      <c r="B73" s="16">
        <v>44537</v>
      </c>
      <c r="C73" s="17">
        <v>14.646000000000001</v>
      </c>
      <c r="D73" s="16">
        <v>45633</v>
      </c>
      <c r="E73" s="18" t="s">
        <v>8</v>
      </c>
    </row>
    <row r="74" spans="1:10" x14ac:dyDescent="0.25">
      <c r="A74" s="15">
        <f>1000000000+1000000000+1500000000+1500000000+1250000000+1000000000+1000000000+1123740000+1500000000+1056960000+1000000000+1702750000</f>
        <v>14633450000</v>
      </c>
      <c r="B74" s="16">
        <v>41982</v>
      </c>
      <c r="C74" s="17">
        <v>15.25</v>
      </c>
      <c r="D74" s="16">
        <v>45635</v>
      </c>
      <c r="E74" s="18" t="s">
        <v>9</v>
      </c>
      <c r="J74" s="19">
        <f>A164+A191</f>
        <v>2441570801000</v>
      </c>
    </row>
    <row r="75" spans="1:10" x14ac:dyDescent="0.25">
      <c r="A75" s="15">
        <f>4914005000+10340045000+4726555000+5483065000+930000000+20450000+5000000</f>
        <v>26419120000</v>
      </c>
      <c r="B75" s="16">
        <v>44565</v>
      </c>
      <c r="C75" s="17">
        <v>14.522</v>
      </c>
      <c r="D75" s="16">
        <v>45661</v>
      </c>
      <c r="E75" s="18" t="s">
        <v>8</v>
      </c>
      <c r="J75" s="19"/>
    </row>
    <row r="76" spans="1:10" x14ac:dyDescent="0.25">
      <c r="A76" s="15">
        <f>4037700000+1350000000+4951875000+2286450000+3191439000+2201260000+8000000000</f>
        <v>26018724000</v>
      </c>
      <c r="B76" s="16">
        <v>43844</v>
      </c>
      <c r="C76" s="17">
        <v>13.536</v>
      </c>
      <c r="D76" s="16">
        <v>45671</v>
      </c>
      <c r="E76" s="18" t="s">
        <v>8</v>
      </c>
    </row>
    <row r="77" spans="1:10" x14ac:dyDescent="0.25">
      <c r="A77" s="15">
        <v>1000000000</v>
      </c>
      <c r="B77" s="16">
        <v>38370</v>
      </c>
      <c r="C77" s="17">
        <v>11.4</v>
      </c>
      <c r="D77" s="16">
        <v>45675</v>
      </c>
      <c r="E77" s="18" t="s">
        <v>11</v>
      </c>
    </row>
    <row r="78" spans="1:10" x14ac:dyDescent="0.25">
      <c r="A78" s="15">
        <f>1500000000+1500000000+1500000000+1500000000+1500000000+1500000000+1750000000+1750000000+2000000000+2000000000</f>
        <v>16500000000</v>
      </c>
      <c r="B78" s="16">
        <v>42038</v>
      </c>
      <c r="C78" s="17">
        <v>14.15</v>
      </c>
      <c r="D78" s="16">
        <v>45691</v>
      </c>
      <c r="E78" s="18" t="s">
        <v>9</v>
      </c>
    </row>
    <row r="79" spans="1:10" x14ac:dyDescent="0.25">
      <c r="A79" s="15">
        <f>1000000000+1250000000+261700000+686500000+404750000+2000000000</f>
        <v>5602950000</v>
      </c>
      <c r="B79" s="16">
        <v>43151</v>
      </c>
      <c r="C79" s="17">
        <v>14.5</v>
      </c>
      <c r="D79" s="16">
        <v>45708</v>
      </c>
      <c r="E79" s="18" t="s">
        <v>9</v>
      </c>
    </row>
    <row r="80" spans="1:10" x14ac:dyDescent="0.25">
      <c r="A80" s="15">
        <f>4000000000+3500000000+3000000000</f>
        <v>10500000000</v>
      </c>
      <c r="B80" s="16">
        <v>43914</v>
      </c>
      <c r="C80" s="17">
        <v>13.939</v>
      </c>
      <c r="D80" s="16">
        <v>45740</v>
      </c>
      <c r="E80" s="18" t="s">
        <v>8</v>
      </c>
    </row>
    <row r="81" spans="1:5" x14ac:dyDescent="0.25">
      <c r="A81" s="15">
        <v>8130600000</v>
      </c>
      <c r="B81" s="16">
        <v>44663</v>
      </c>
      <c r="C81" s="17">
        <v>14.686999999999999</v>
      </c>
      <c r="D81" s="16">
        <v>45759</v>
      </c>
      <c r="E81" s="18" t="s">
        <v>8</v>
      </c>
    </row>
    <row r="82" spans="1:5" x14ac:dyDescent="0.25">
      <c r="A82" s="15">
        <f>1395090000+3500000000+2554391000+205535000+13340000</f>
        <v>7668356000</v>
      </c>
      <c r="B82" s="16">
        <v>43942</v>
      </c>
      <c r="C82" s="17">
        <v>13.298</v>
      </c>
      <c r="D82" s="16">
        <v>45768</v>
      </c>
      <c r="E82" s="18" t="s">
        <v>8</v>
      </c>
    </row>
    <row r="83" spans="1:5" x14ac:dyDescent="0.25">
      <c r="A83" s="15">
        <f>5000000000</f>
        <v>5000000000</v>
      </c>
      <c r="B83" s="16">
        <v>43949</v>
      </c>
      <c r="C83" s="17">
        <v>13.298</v>
      </c>
      <c r="D83" s="16">
        <v>45775</v>
      </c>
      <c r="E83" s="18" t="s">
        <v>8</v>
      </c>
    </row>
    <row r="84" spans="1:5" x14ac:dyDescent="0.25">
      <c r="A84" s="15">
        <f>5000000000</f>
        <v>5000000000</v>
      </c>
      <c r="B84" s="16">
        <v>43956</v>
      </c>
      <c r="C84" s="17">
        <v>13.545999999999999</v>
      </c>
      <c r="D84" s="16">
        <v>45782</v>
      </c>
      <c r="E84" s="18" t="s">
        <v>8</v>
      </c>
    </row>
    <row r="85" spans="1:5" x14ac:dyDescent="0.25">
      <c r="A85" s="15">
        <f>1750000000+1750000000+1250000000+1250000000+1750000000+1750000000+1750000000+1750000000+2250000000+2250000000</f>
        <v>17500000000</v>
      </c>
      <c r="B85" s="16">
        <v>42136</v>
      </c>
      <c r="C85" s="17">
        <v>14.4</v>
      </c>
      <c r="D85" s="16">
        <v>45789</v>
      </c>
      <c r="E85" s="18" t="s">
        <v>9</v>
      </c>
    </row>
    <row r="86" spans="1:5" x14ac:dyDescent="0.25">
      <c r="A86" s="15">
        <f>5000000000</f>
        <v>5000000000</v>
      </c>
      <c r="B86" s="16">
        <v>43970</v>
      </c>
      <c r="C86" s="17">
        <v>13.497</v>
      </c>
      <c r="D86" s="16">
        <v>45796</v>
      </c>
      <c r="E86" s="18" t="s">
        <v>8</v>
      </c>
    </row>
    <row r="87" spans="1:5" x14ac:dyDescent="0.25">
      <c r="A87" s="15">
        <f>567000000+9000000</f>
        <v>576000000</v>
      </c>
      <c r="B87" s="16">
        <v>43998</v>
      </c>
      <c r="C87" s="17">
        <v>13.727</v>
      </c>
      <c r="D87" s="16">
        <v>45824</v>
      </c>
      <c r="E87" s="18" t="s">
        <v>8</v>
      </c>
    </row>
    <row r="88" spans="1:5" x14ac:dyDescent="0.25">
      <c r="A88" s="15">
        <v>7000000000</v>
      </c>
      <c r="B88" s="16">
        <v>44740</v>
      </c>
      <c r="C88" s="17">
        <v>14.68</v>
      </c>
      <c r="D88" s="16">
        <v>45836</v>
      </c>
      <c r="E88" s="18" t="s">
        <v>8</v>
      </c>
    </row>
    <row r="89" spans="1:5" x14ac:dyDescent="0.25">
      <c r="A89" s="15">
        <f>3500000000+250000000+2004835000+1658000000+1437500000+1000000000</f>
        <v>9850335000</v>
      </c>
      <c r="B89" s="16">
        <v>44026</v>
      </c>
      <c r="C89" s="17">
        <v>14.349</v>
      </c>
      <c r="D89" s="16">
        <v>45852</v>
      </c>
      <c r="E89" s="18" t="s">
        <v>8</v>
      </c>
    </row>
    <row r="90" spans="1:5" x14ac:dyDescent="0.25">
      <c r="A90" s="15">
        <f>1500000000+1884400000+153800000+500000000+1255250000+1000700000+1448000000+1000000+10000000+430400000+750000000+2937099000+955408000+902190000+1000588000+235000000+400000000</f>
        <v>15363835000</v>
      </c>
      <c r="B90" s="16">
        <v>43319</v>
      </c>
      <c r="C90" s="17">
        <v>17.7</v>
      </c>
      <c r="D90" s="16">
        <v>45876</v>
      </c>
      <c r="E90" s="18" t="s">
        <v>8</v>
      </c>
    </row>
    <row r="91" spans="1:5" x14ac:dyDescent="0.25">
      <c r="A91" s="15">
        <f>14797950000+900000000+500000000</f>
        <v>16197950000</v>
      </c>
      <c r="B91" s="16">
        <v>44082</v>
      </c>
      <c r="C91" s="17">
        <v>14.605</v>
      </c>
      <c r="D91" s="16">
        <v>45908</v>
      </c>
      <c r="E91" s="18" t="s">
        <v>8</v>
      </c>
    </row>
    <row r="92" spans="1:5" x14ac:dyDescent="0.25">
      <c r="A92" s="15">
        <f>15712600000</f>
        <v>15712600000</v>
      </c>
      <c r="B92" s="16">
        <v>44096</v>
      </c>
      <c r="C92" s="17">
        <v>14.493</v>
      </c>
      <c r="D92" s="16">
        <v>45922</v>
      </c>
      <c r="E92" s="18" t="s">
        <v>8</v>
      </c>
    </row>
    <row r="93" spans="1:5" x14ac:dyDescent="0.25">
      <c r="A93" s="15">
        <f>12794200000</f>
        <v>12794200000</v>
      </c>
      <c r="B93" s="16">
        <v>44110</v>
      </c>
      <c r="C93" s="17">
        <v>14.388</v>
      </c>
      <c r="D93" s="16">
        <v>45936</v>
      </c>
      <c r="E93" s="18" t="s">
        <v>8</v>
      </c>
    </row>
    <row r="94" spans="1:5" x14ac:dyDescent="0.25">
      <c r="A94" s="15">
        <f>7742300000+5682220000+5000000000+13631500000+10937450000+9490750000</f>
        <v>52484220000</v>
      </c>
      <c r="B94" s="16">
        <v>44124</v>
      </c>
      <c r="C94" s="17">
        <v>14.369</v>
      </c>
      <c r="D94" s="16">
        <v>45950</v>
      </c>
      <c r="E94" s="18" t="s">
        <v>8</v>
      </c>
    </row>
    <row r="95" spans="1:5" x14ac:dyDescent="0.25">
      <c r="A95" s="15">
        <f>2250000000+2250000000+2250000000+2250000000+1750000000+1000000000+1750000000+1000000000+698500000+2000000000</f>
        <v>17198500000</v>
      </c>
      <c r="B95" s="16">
        <v>42318</v>
      </c>
      <c r="C95" s="17">
        <v>15.3</v>
      </c>
      <c r="D95" s="16">
        <v>45971</v>
      </c>
      <c r="E95" s="18" t="s">
        <v>9</v>
      </c>
    </row>
    <row r="96" spans="1:5" x14ac:dyDescent="0.25">
      <c r="A96" s="15">
        <v>2000000000</v>
      </c>
      <c r="B96" s="16">
        <v>44160</v>
      </c>
      <c r="C96" s="17">
        <v>14.28</v>
      </c>
      <c r="D96" s="16">
        <v>45986</v>
      </c>
      <c r="E96" s="18" t="s">
        <v>8</v>
      </c>
    </row>
    <row r="97" spans="1:5" x14ac:dyDescent="0.25">
      <c r="A97" s="15">
        <v>4000000000</v>
      </c>
      <c r="B97" s="16">
        <v>44194</v>
      </c>
      <c r="C97" s="17">
        <v>14.117000000000001</v>
      </c>
      <c r="D97" s="16">
        <v>46020</v>
      </c>
      <c r="E97" s="18" t="s">
        <v>8</v>
      </c>
    </row>
    <row r="98" spans="1:5" x14ac:dyDescent="0.25">
      <c r="A98" s="15">
        <f>8000000000+8049886000+17216050000+12232748000+4651547000+3451419000+100000000</f>
        <v>53701650000</v>
      </c>
      <c r="B98" s="16">
        <v>44208</v>
      </c>
      <c r="C98" s="17">
        <v>14.06</v>
      </c>
      <c r="D98" s="16">
        <v>46034</v>
      </c>
      <c r="E98" s="18" t="s">
        <v>8</v>
      </c>
    </row>
    <row r="99" spans="1:5" x14ac:dyDescent="0.25">
      <c r="A99" s="15">
        <f>5000000000</f>
        <v>5000000000</v>
      </c>
      <c r="B99" s="16">
        <v>44255</v>
      </c>
      <c r="C99" s="17">
        <v>14.403</v>
      </c>
      <c r="D99" s="16">
        <v>46081</v>
      </c>
      <c r="E99" s="18" t="s">
        <v>8</v>
      </c>
    </row>
    <row r="100" spans="1:5" x14ac:dyDescent="0.25">
      <c r="A100" s="15">
        <f>322300000+500000000+1192000000+1000000000+713100000+1000000000+661000000+340000000+1358500000+1292150000+250000000+4097300000+1200000000+2213090000+2000000000+17625000</f>
        <v>18157065000</v>
      </c>
      <c r="B100" s="16">
        <v>43557</v>
      </c>
      <c r="C100" s="17">
        <v>16.5</v>
      </c>
      <c r="D100" s="16">
        <v>46114</v>
      </c>
      <c r="E100" s="18" t="s">
        <v>8</v>
      </c>
    </row>
    <row r="101" spans="1:5" x14ac:dyDescent="0.25">
      <c r="A101" s="15">
        <f>6066265000+7831200000+8142164000+10118813000+6058880000+8479978000+2983110000</f>
        <v>49680410000</v>
      </c>
      <c r="B101" s="16">
        <v>44292</v>
      </c>
      <c r="C101" s="17">
        <v>14.483000000000001</v>
      </c>
      <c r="D101" s="16">
        <v>46118</v>
      </c>
      <c r="E101" s="18" t="s">
        <v>8</v>
      </c>
    </row>
    <row r="102" spans="1:5" x14ac:dyDescent="0.25">
      <c r="A102" s="15">
        <f>5000000000</f>
        <v>5000000000</v>
      </c>
      <c r="B102" s="16">
        <v>44376</v>
      </c>
      <c r="C102" s="17">
        <v>14.561999999999999</v>
      </c>
      <c r="D102" s="16">
        <v>46202</v>
      </c>
      <c r="E102" s="18" t="s">
        <v>8</v>
      </c>
    </row>
    <row r="103" spans="1:5" x14ac:dyDescent="0.25">
      <c r="A103" s="15">
        <f>550000000+800000000+500000000+500000000+500000000+250000000+250000000+250000000+730652000+252370000+250000000+250000000+370250000+278252000+350000000+367000000+250000000+250000000+458775000+250000000+750000000+339750000+1500000000</f>
        <v>10247049000</v>
      </c>
      <c r="B103" s="16">
        <v>42556</v>
      </c>
      <c r="C103" s="17">
        <v>17.149999999999999</v>
      </c>
      <c r="D103" s="16">
        <v>46208</v>
      </c>
      <c r="E103" s="18" t="s">
        <v>9</v>
      </c>
    </row>
    <row r="104" spans="1:5" x14ac:dyDescent="0.25">
      <c r="A104" s="15">
        <f>795510000+863965000+2985595000+2500000000+4172250000+3000000000+2500000000</f>
        <v>16817320000</v>
      </c>
      <c r="B104" s="16">
        <v>44383</v>
      </c>
      <c r="C104" s="17">
        <v>14.563000000000001</v>
      </c>
      <c r="D104" s="16">
        <v>46209</v>
      </c>
      <c r="E104" s="18" t="s">
        <v>8</v>
      </c>
    </row>
    <row r="105" spans="1:5" x14ac:dyDescent="0.25">
      <c r="A105" s="15">
        <f>5538000000+1250000000+3000000000+1250000000+3526427000+850000000</f>
        <v>15414427000</v>
      </c>
      <c r="B105" s="16">
        <v>43683</v>
      </c>
      <c r="C105" s="17">
        <v>15.6</v>
      </c>
      <c r="D105" s="16">
        <v>46240</v>
      </c>
      <c r="E105" s="18" t="s">
        <v>8</v>
      </c>
    </row>
    <row r="106" spans="1:5" x14ac:dyDescent="0.25">
      <c r="A106" s="15">
        <f>1365825000+3045535000+1021008000+686600000+1000000000+856000000+1034200000</f>
        <v>9009168000</v>
      </c>
      <c r="B106" s="16">
        <v>44474</v>
      </c>
      <c r="C106" s="17">
        <v>14.423999999999999</v>
      </c>
      <c r="D106" s="16">
        <v>46300</v>
      </c>
      <c r="E106" s="18" t="s">
        <v>8</v>
      </c>
    </row>
    <row r="107" spans="1:5" x14ac:dyDescent="0.25">
      <c r="A107" s="15">
        <f>3548500000+2709500000+1500000000+1476000000+1200000000+1000000000+900000000+300000000+1766500000+494332000+500000000+2000000000</f>
        <v>17394832000</v>
      </c>
      <c r="B107" s="16">
        <v>43753</v>
      </c>
      <c r="C107" s="17">
        <v>14.217000000000001</v>
      </c>
      <c r="D107" s="16">
        <v>46310</v>
      </c>
      <c r="E107" s="18" t="s">
        <v>8</v>
      </c>
    </row>
    <row r="108" spans="1:5" x14ac:dyDescent="0.25">
      <c r="A108" s="15">
        <f>4302900000+2450000000+2399731000+208950000+3250000000+791715000+1200550000</f>
        <v>14603846000</v>
      </c>
      <c r="B108" s="16">
        <v>43837</v>
      </c>
      <c r="C108" s="17">
        <v>13.771000000000001</v>
      </c>
      <c r="D108" s="16">
        <v>46394</v>
      </c>
      <c r="E108" s="18" t="s">
        <v>8</v>
      </c>
    </row>
    <row r="109" spans="1:5" x14ac:dyDescent="0.25">
      <c r="A109" s="15">
        <f>804100000+1671102000+1195179000+1540540000+138377000+11000000</f>
        <v>5360298000</v>
      </c>
      <c r="B109" s="16">
        <v>44572</v>
      </c>
      <c r="C109" s="17">
        <v>14.285</v>
      </c>
      <c r="D109" s="16">
        <v>46398</v>
      </c>
      <c r="E109" s="18" t="s">
        <v>8</v>
      </c>
    </row>
    <row r="110" spans="1:5" x14ac:dyDescent="0.25">
      <c r="A110" s="15">
        <f>1000000000</f>
        <v>1000000000</v>
      </c>
      <c r="B110" s="16">
        <v>43921</v>
      </c>
      <c r="C110" s="17">
        <v>14</v>
      </c>
      <c r="D110" s="16">
        <v>46477</v>
      </c>
      <c r="E110" s="18" t="s">
        <v>8</v>
      </c>
    </row>
    <row r="111" spans="1:5" x14ac:dyDescent="0.25">
      <c r="A111" s="15">
        <v>1035245000</v>
      </c>
      <c r="B111" s="16">
        <v>44656</v>
      </c>
      <c r="C111" s="17">
        <v>14.222</v>
      </c>
      <c r="D111" s="16">
        <v>46482</v>
      </c>
      <c r="E111" s="18" t="s">
        <v>8</v>
      </c>
    </row>
    <row r="112" spans="1:5" x14ac:dyDescent="0.25">
      <c r="A112" s="15">
        <f>3250000000+214000000+249000000+12800000</f>
        <v>3725800000</v>
      </c>
      <c r="B112" s="16">
        <v>43935</v>
      </c>
      <c r="C112" s="17">
        <v>13.204000000000001</v>
      </c>
      <c r="D112" s="16">
        <v>46491</v>
      </c>
      <c r="E112" s="18" t="s">
        <v>8</v>
      </c>
    </row>
    <row r="113" spans="1:5" x14ac:dyDescent="0.25">
      <c r="A113" s="15">
        <f>3375000000</f>
        <v>3375000000</v>
      </c>
      <c r="B113" s="16">
        <v>43949</v>
      </c>
      <c r="C113" s="17">
        <v>13.391</v>
      </c>
      <c r="D113" s="16">
        <v>46505</v>
      </c>
      <c r="E113" s="18" t="s">
        <v>8</v>
      </c>
    </row>
    <row r="114" spans="1:5" x14ac:dyDescent="0.25">
      <c r="A114" s="15">
        <f>300000000+330000000+1309100000+823175000+750000000+750000000+750000000+750000000+750000000+1000000000+1214800000+1098280000+1250000000+1047125000+500000000+2290000000</f>
        <v>14912480000</v>
      </c>
      <c r="B114" s="16">
        <v>42864</v>
      </c>
      <c r="C114" s="17">
        <v>17.18</v>
      </c>
      <c r="D114" s="16">
        <v>46516</v>
      </c>
      <c r="E114" s="18" t="s">
        <v>9</v>
      </c>
    </row>
    <row r="115" spans="1:5" x14ac:dyDescent="0.25">
      <c r="A115" s="15">
        <f>5000000000</f>
        <v>5000000000</v>
      </c>
      <c r="B115" s="16">
        <v>43970</v>
      </c>
      <c r="C115" s="17">
        <v>13.548</v>
      </c>
      <c r="D115" s="16">
        <v>46526</v>
      </c>
      <c r="E115" s="18" t="s">
        <v>8</v>
      </c>
    </row>
    <row r="116" spans="1:5" x14ac:dyDescent="0.25">
      <c r="A116" s="15">
        <f>1229475000+8800000</f>
        <v>1238275000</v>
      </c>
      <c r="B116" s="16">
        <v>43991</v>
      </c>
      <c r="C116" s="17">
        <v>13.723000000000001</v>
      </c>
      <c r="D116" s="16">
        <v>46547</v>
      </c>
      <c r="E116" s="18" t="s">
        <v>8</v>
      </c>
    </row>
    <row r="117" spans="1:5" x14ac:dyDescent="0.25">
      <c r="A117" s="15">
        <v>8375000000</v>
      </c>
      <c r="B117" s="16">
        <v>44005</v>
      </c>
      <c r="C117" s="17">
        <v>13.861000000000001</v>
      </c>
      <c r="D117" s="16">
        <v>46561</v>
      </c>
      <c r="E117" s="18" t="s">
        <v>8</v>
      </c>
    </row>
    <row r="118" spans="1:5" x14ac:dyDescent="0.25">
      <c r="A118" s="15">
        <v>3000000000</v>
      </c>
      <c r="B118" s="16">
        <v>44740</v>
      </c>
      <c r="C118" s="17">
        <v>14.233000000000001</v>
      </c>
      <c r="D118" s="16">
        <v>46566</v>
      </c>
      <c r="E118" s="18" t="s">
        <v>8</v>
      </c>
    </row>
    <row r="119" spans="1:5" x14ac:dyDescent="0.25">
      <c r="A119" s="15">
        <f>1446800000+1634650000+1415350000+480350000+44800000+500000000+5250000000+2826825000+3000000000</f>
        <v>16598775000</v>
      </c>
      <c r="B119" s="16">
        <v>44019</v>
      </c>
      <c r="C119" s="17">
        <v>14.406000000000001</v>
      </c>
      <c r="D119" s="16">
        <v>46575</v>
      </c>
      <c r="E119" s="18" t="s">
        <v>8</v>
      </c>
    </row>
    <row r="120" spans="1:5" x14ac:dyDescent="0.25">
      <c r="A120" s="15">
        <f>8551650000+1576700000+5468446000+3839000000+4553550000+7500000000</f>
        <v>31489346000</v>
      </c>
      <c r="B120" s="16">
        <v>44117</v>
      </c>
      <c r="C120" s="17">
        <v>14.555999999999999</v>
      </c>
      <c r="D120" s="16">
        <v>46673</v>
      </c>
      <c r="E120" s="18" t="s">
        <v>8</v>
      </c>
    </row>
    <row r="121" spans="1:5" x14ac:dyDescent="0.25">
      <c r="A121" s="15">
        <f>986000000+1473232000+1250000000+1000000000+1000000000+776210000+847289000+703000000+532580000+1504930000+1000000000+470600000+290000000+492300000+1323180000</f>
        <v>13649321000</v>
      </c>
      <c r="B121" s="16">
        <v>43046</v>
      </c>
      <c r="C121" s="17">
        <v>15.7</v>
      </c>
      <c r="D121" s="16">
        <v>46698</v>
      </c>
      <c r="E121" s="18" t="s">
        <v>9</v>
      </c>
    </row>
    <row r="122" spans="1:5" x14ac:dyDescent="0.25">
      <c r="A122" s="15">
        <v>2000000000</v>
      </c>
      <c r="B122" s="16">
        <v>44160</v>
      </c>
      <c r="C122" s="17">
        <v>14.423</v>
      </c>
      <c r="D122" s="16">
        <v>46716</v>
      </c>
      <c r="E122" s="18" t="s">
        <v>8</v>
      </c>
    </row>
    <row r="123" spans="1:5" x14ac:dyDescent="0.25">
      <c r="A123" s="15">
        <v>4000000000</v>
      </c>
      <c r="B123" s="16">
        <v>44194</v>
      </c>
      <c r="C123" s="17">
        <v>14.18</v>
      </c>
      <c r="D123" s="16">
        <v>46750</v>
      </c>
      <c r="E123" s="18" t="s">
        <v>8</v>
      </c>
    </row>
    <row r="124" spans="1:5" x14ac:dyDescent="0.25">
      <c r="A124" s="15">
        <f>1306939000+6447500000+7000000000+5762500000+342000000+8256470000+607050000</f>
        <v>29722459000</v>
      </c>
      <c r="B124" s="16">
        <v>44201</v>
      </c>
      <c r="C124" s="17">
        <v>14.292</v>
      </c>
      <c r="D124" s="16">
        <v>46757</v>
      </c>
      <c r="E124" s="18" t="s">
        <v>8</v>
      </c>
    </row>
    <row r="125" spans="1:5" x14ac:dyDescent="0.25">
      <c r="A125" s="15">
        <f>4164125000</f>
        <v>4164125000</v>
      </c>
      <c r="B125" s="16">
        <v>44255</v>
      </c>
      <c r="C125" s="17">
        <v>14.374000000000001</v>
      </c>
      <c r="D125" s="16">
        <v>46811</v>
      </c>
      <c r="E125" s="18" t="s">
        <v>8</v>
      </c>
    </row>
    <row r="126" spans="1:5" x14ac:dyDescent="0.25">
      <c r="A126" s="15">
        <f>525800000+2242242000+1098788000+1092392000+587121000+3682171000</f>
        <v>9228514000</v>
      </c>
      <c r="B126" s="16">
        <v>44299</v>
      </c>
      <c r="C126" s="17">
        <v>14.551</v>
      </c>
      <c r="D126" s="16">
        <v>46856</v>
      </c>
      <c r="E126" s="18" t="s">
        <v>8</v>
      </c>
    </row>
    <row r="127" spans="1:5" x14ac:dyDescent="0.25">
      <c r="A127" s="15">
        <f>1041185000+803000000+800025000+1051875000+500000000+974000000</f>
        <v>5170085000</v>
      </c>
      <c r="B127" s="16">
        <v>43228</v>
      </c>
      <c r="C127" s="17">
        <v>14.9</v>
      </c>
      <c r="D127" s="16">
        <v>46881</v>
      </c>
      <c r="E127" s="18" t="s">
        <v>8</v>
      </c>
    </row>
    <row r="128" spans="1:5" x14ac:dyDescent="0.25">
      <c r="A128" s="15">
        <f>5000000000</f>
        <v>5000000000</v>
      </c>
      <c r="B128" s="16">
        <v>44376</v>
      </c>
      <c r="C128" s="17">
        <v>14.59</v>
      </c>
      <c r="D128" s="16">
        <v>46933</v>
      </c>
      <c r="E128" s="18" t="s">
        <v>8</v>
      </c>
    </row>
    <row r="129" spans="1:5" x14ac:dyDescent="0.25">
      <c r="A129" s="15">
        <f>277400000+532250000+633000000+870775000+33500000</f>
        <v>2346925000</v>
      </c>
      <c r="B129" s="16">
        <v>44390</v>
      </c>
      <c r="C129" s="17">
        <v>14.585000000000001</v>
      </c>
      <c r="D129" s="16">
        <v>46947</v>
      </c>
      <c r="E129" s="18" t="s">
        <v>8</v>
      </c>
    </row>
    <row r="130" spans="1:5" x14ac:dyDescent="0.25">
      <c r="A130" s="15">
        <f>137060000+692230000+134507000+143500000+203031000+115000000</f>
        <v>1425328000</v>
      </c>
      <c r="B130" s="16">
        <v>44481</v>
      </c>
      <c r="C130" s="17">
        <v>14.574999999999999</v>
      </c>
      <c r="D130" s="16">
        <v>47038</v>
      </c>
      <c r="E130" s="18" t="s">
        <v>8</v>
      </c>
    </row>
    <row r="131" spans="1:5" x14ac:dyDescent="0.25">
      <c r="A131" s="15">
        <f>2000000000</f>
        <v>2000000000</v>
      </c>
      <c r="B131" s="16">
        <v>44500</v>
      </c>
      <c r="C131" s="17">
        <v>14.595000000000001</v>
      </c>
      <c r="D131" s="16">
        <v>47057</v>
      </c>
      <c r="E131" s="18" t="s">
        <v>8</v>
      </c>
    </row>
    <row r="132" spans="1:5" x14ac:dyDescent="0.25">
      <c r="A132" s="15">
        <f>500000000+218450000+1006600000+102760000+500000000+1030850000+977050000+286968000+500000000+400000000+1495000000+150000000+1700000000+208000000</f>
        <v>9075678000</v>
      </c>
      <c r="B132" s="16">
        <v>43410</v>
      </c>
      <c r="C132" s="17">
        <v>18</v>
      </c>
      <c r="D132" s="16">
        <v>47063</v>
      </c>
      <c r="E132" s="18" t="s">
        <v>8</v>
      </c>
    </row>
    <row r="133" spans="1:5" x14ac:dyDescent="0.25">
      <c r="A133" s="15">
        <f>352000000+90500000+14035000+401625000+19400000+17610000+3000702000</f>
        <v>3895872000</v>
      </c>
      <c r="B133" s="16">
        <v>44565</v>
      </c>
      <c r="C133" s="17">
        <v>14.598000000000001</v>
      </c>
      <c r="D133" s="16">
        <v>47122</v>
      </c>
      <c r="E133" s="18" t="s">
        <v>8</v>
      </c>
    </row>
    <row r="134" spans="1:5" x14ac:dyDescent="0.25">
      <c r="A134" s="15">
        <f>402581000+1452725000+1547500000+2227165000+1250000000+450000000+2955297000+4183298000+1000000000+2000000000+1690000000+1000000000+1250000000+700000000</f>
        <v>22108566000</v>
      </c>
      <c r="B134" s="16">
        <v>43592</v>
      </c>
      <c r="C134" s="17">
        <v>16.100000000000001</v>
      </c>
      <c r="D134" s="16">
        <v>47245</v>
      </c>
      <c r="E134" s="18" t="s">
        <v>8</v>
      </c>
    </row>
    <row r="135" spans="1:5" x14ac:dyDescent="0.25">
      <c r="A135" s="15">
        <v>176440000</v>
      </c>
      <c r="B135" s="16">
        <v>44691</v>
      </c>
      <c r="C135" s="17">
        <v>14.63</v>
      </c>
      <c r="D135" s="16">
        <v>47248</v>
      </c>
      <c r="E135" s="18" t="s">
        <v>8</v>
      </c>
    </row>
    <row r="136" spans="1:5" x14ac:dyDescent="0.25">
      <c r="A136" s="15">
        <f>4999808000</f>
        <v>4999808000</v>
      </c>
      <c r="B136" s="16">
        <v>44740</v>
      </c>
      <c r="C136" s="17">
        <v>14.63</v>
      </c>
      <c r="D136" s="16">
        <v>47297</v>
      </c>
      <c r="E136" s="18" t="s">
        <v>8</v>
      </c>
    </row>
    <row r="137" spans="1:5" x14ac:dyDescent="0.25">
      <c r="A137" s="15">
        <f>4500750000+400000000+2000000000+2280450000+1501625000+500000000+3270195000+1750000000+371000000+290000000+2116940000+100000000</f>
        <v>19080960000</v>
      </c>
      <c r="B137" s="16">
        <v>43718</v>
      </c>
      <c r="C137" s="17">
        <v>14.4</v>
      </c>
      <c r="D137" s="16">
        <v>47371</v>
      </c>
      <c r="E137" s="18" t="s">
        <v>8</v>
      </c>
    </row>
    <row r="138" spans="1:5" x14ac:dyDescent="0.25">
      <c r="A138" s="15">
        <f>1750000000+10000000000</f>
        <v>11750000000</v>
      </c>
      <c r="B138" s="16">
        <v>43830</v>
      </c>
      <c r="C138" s="17">
        <v>13.702999999999999</v>
      </c>
      <c r="D138" s="16">
        <v>47483</v>
      </c>
      <c r="E138" s="18" t="s">
        <v>8</v>
      </c>
    </row>
    <row r="139" spans="1:5" x14ac:dyDescent="0.25">
      <c r="A139" s="15">
        <f>5508290000+600000000+4129490000+2430190000+2952950000+77000000</f>
        <v>15697920000</v>
      </c>
      <c r="B139" s="16">
        <v>43844</v>
      </c>
      <c r="C139" s="17">
        <v>13.564</v>
      </c>
      <c r="D139" s="16">
        <v>47497</v>
      </c>
      <c r="E139" s="18" t="s">
        <v>8</v>
      </c>
    </row>
    <row r="140" spans="1:5" x14ac:dyDescent="0.25">
      <c r="A140" s="15">
        <f>3500000000+3000000000</f>
        <v>6500000000</v>
      </c>
      <c r="B140" s="16">
        <v>43914</v>
      </c>
      <c r="C140" s="17">
        <v>13.938000000000001</v>
      </c>
      <c r="D140" s="16">
        <v>47566</v>
      </c>
      <c r="E140" s="18" t="s">
        <v>8</v>
      </c>
    </row>
    <row r="141" spans="1:5" x14ac:dyDescent="0.25">
      <c r="A141" s="15">
        <f>3000000000+112000000+50000000</f>
        <v>3162000000</v>
      </c>
      <c r="B141" s="16">
        <v>43942</v>
      </c>
      <c r="C141" s="17">
        <v>13.411</v>
      </c>
      <c r="D141" s="16">
        <v>47594</v>
      </c>
      <c r="E141" s="18" t="s">
        <v>8</v>
      </c>
    </row>
    <row r="142" spans="1:5" x14ac:dyDescent="0.25">
      <c r="A142" s="15">
        <f>10000000+1500000</f>
        <v>11500000</v>
      </c>
      <c r="B142" s="16">
        <v>43998</v>
      </c>
      <c r="C142" s="17">
        <v>13.8</v>
      </c>
      <c r="D142" s="16">
        <v>47650</v>
      </c>
      <c r="E142" s="18" t="s">
        <v>8</v>
      </c>
    </row>
    <row r="143" spans="1:5" x14ac:dyDescent="0.25">
      <c r="A143" s="15">
        <f>482200000+766200000+134800000+85000000+2095104000+500000000+6397000000</f>
        <v>10460304000</v>
      </c>
      <c r="B143" s="16">
        <v>44026</v>
      </c>
      <c r="C143" s="17">
        <v>14.425000000000001</v>
      </c>
      <c r="D143" s="16">
        <v>47678</v>
      </c>
      <c r="E143" s="18" t="s">
        <v>8</v>
      </c>
    </row>
    <row r="144" spans="1:5" x14ac:dyDescent="0.25">
      <c r="A144" s="15">
        <f>434650000+3500000000+3923600000+3688867000+2291000000+1029900000+5261000000</f>
        <v>20129017000</v>
      </c>
      <c r="B144" s="16">
        <v>44110</v>
      </c>
      <c r="C144" s="17">
        <v>14.664</v>
      </c>
      <c r="D144" s="16">
        <v>47762</v>
      </c>
      <c r="E144" s="18" t="s">
        <v>8</v>
      </c>
    </row>
    <row r="145" spans="1:7" x14ac:dyDescent="0.25">
      <c r="A145" s="15">
        <v>10000000000</v>
      </c>
      <c r="B145" s="16">
        <v>44131</v>
      </c>
      <c r="C145" s="17">
        <v>14.731</v>
      </c>
      <c r="D145" s="16">
        <v>47783</v>
      </c>
      <c r="E145" s="18" t="s">
        <v>8</v>
      </c>
    </row>
    <row r="146" spans="1:7" x14ac:dyDescent="0.25">
      <c r="A146" s="15">
        <v>10164125000</v>
      </c>
      <c r="B146" s="16">
        <v>44160</v>
      </c>
      <c r="C146" s="17">
        <v>14.505000000000001</v>
      </c>
      <c r="D146" s="16">
        <v>47812</v>
      </c>
      <c r="E146" s="18" t="s">
        <v>8</v>
      </c>
    </row>
    <row r="147" spans="1:7" x14ac:dyDescent="0.25">
      <c r="A147" s="15">
        <v>4164125000</v>
      </c>
      <c r="B147" s="16">
        <v>44194</v>
      </c>
      <c r="C147" s="17">
        <v>14.394</v>
      </c>
      <c r="D147" s="16">
        <v>47846</v>
      </c>
      <c r="E147" s="18" t="s">
        <v>8</v>
      </c>
    </row>
    <row r="148" spans="1:7" x14ac:dyDescent="0.25">
      <c r="A148" s="15">
        <f>4092280000+739000000+3815800000+3733600000+1553006000+1306850000</f>
        <v>15240536000</v>
      </c>
      <c r="B148" s="16">
        <v>44208</v>
      </c>
      <c r="C148" s="17">
        <v>14.382</v>
      </c>
      <c r="D148" s="16">
        <v>47860</v>
      </c>
      <c r="E148" s="18" t="s">
        <v>8</v>
      </c>
    </row>
    <row r="149" spans="1:7" x14ac:dyDescent="0.25">
      <c r="A149" s="15">
        <f>3664150000+2529650000+257777000+489450000+2905383000+954250000+100950000</f>
        <v>10901610000</v>
      </c>
      <c r="B149" s="16">
        <v>44292</v>
      </c>
      <c r="C149" s="17">
        <v>14.82</v>
      </c>
      <c r="D149" s="16">
        <v>47944</v>
      </c>
      <c r="E149" s="18" t="s">
        <v>8</v>
      </c>
    </row>
    <row r="150" spans="1:7" x14ac:dyDescent="0.25">
      <c r="A150" s="15">
        <v>4164125000</v>
      </c>
      <c r="B150" s="16">
        <v>44376</v>
      </c>
      <c r="C150" s="17">
        <v>14.826000000000001</v>
      </c>
      <c r="D150" s="16">
        <v>48028</v>
      </c>
      <c r="E150" s="18" t="s">
        <v>8</v>
      </c>
    </row>
    <row r="151" spans="1:7" x14ac:dyDescent="0.25">
      <c r="A151" s="15">
        <f>8500000+53700000+572271000+1500000000+136010000+229545000+371352000</f>
        <v>2871378000</v>
      </c>
      <c r="B151" s="16">
        <v>44383</v>
      </c>
      <c r="C151" s="17">
        <v>14.82</v>
      </c>
      <c r="D151" s="16">
        <v>48035</v>
      </c>
      <c r="E151" s="18" t="s">
        <v>8</v>
      </c>
    </row>
    <row r="152" spans="1:7" x14ac:dyDescent="0.25">
      <c r="A152" s="15">
        <f>76400000+233250000+63896000+32600000+1250000+41741000+91125000</f>
        <v>540262000</v>
      </c>
      <c r="B152" s="16">
        <v>44474</v>
      </c>
      <c r="C152" s="17">
        <v>14.7</v>
      </c>
      <c r="D152" s="16">
        <v>48126</v>
      </c>
      <c r="E152" s="18" t="s">
        <v>8</v>
      </c>
    </row>
    <row r="153" spans="1:7" x14ac:dyDescent="0.25">
      <c r="A153" s="15">
        <f>68000000+37950000+20500000+24000000+54733000</f>
        <v>205183000</v>
      </c>
      <c r="B153" s="16">
        <v>44572</v>
      </c>
      <c r="C153" s="17">
        <v>14.72</v>
      </c>
      <c r="D153" s="16">
        <v>48224</v>
      </c>
      <c r="E153" s="18" t="s">
        <v>8</v>
      </c>
    </row>
    <row r="154" spans="1:7" x14ac:dyDescent="0.25">
      <c r="A154" s="15">
        <f>2905000+1350000</f>
        <v>4255000</v>
      </c>
      <c r="B154" s="16">
        <v>44698</v>
      </c>
      <c r="C154" s="17">
        <v>14.372</v>
      </c>
      <c r="D154" s="16">
        <v>48351</v>
      </c>
      <c r="E154" s="18" t="s">
        <v>8</v>
      </c>
    </row>
    <row r="155" spans="1:7" x14ac:dyDescent="0.25">
      <c r="A155" s="15">
        <f>1000000000+112000000+2000000000+2500000000+108950000</f>
        <v>5720950000</v>
      </c>
      <c r="B155" s="16">
        <v>44040</v>
      </c>
      <c r="C155" s="17">
        <v>15.433</v>
      </c>
      <c r="D155" s="16">
        <v>49518</v>
      </c>
      <c r="E155" s="18" t="s">
        <v>8</v>
      </c>
      <c r="G155" s="19"/>
    </row>
    <row r="156" spans="1:7" x14ac:dyDescent="0.25">
      <c r="A156" s="15">
        <f>695175000+4164125000+191000000+1150000000</f>
        <v>6200300000</v>
      </c>
      <c r="B156" s="16">
        <v>44131</v>
      </c>
      <c r="C156" s="17">
        <v>15.342000000000001</v>
      </c>
      <c r="D156" s="16">
        <v>49609</v>
      </c>
      <c r="E156" s="18" t="s">
        <v>8</v>
      </c>
    </row>
    <row r="157" spans="1:7" x14ac:dyDescent="0.25">
      <c r="A157" s="15">
        <f>658750000+1000000000+210000000</f>
        <v>1868750000</v>
      </c>
      <c r="B157" s="16">
        <v>44222</v>
      </c>
      <c r="C157" s="17">
        <v>15.276</v>
      </c>
      <c r="D157" s="16">
        <v>49700</v>
      </c>
      <c r="E157" s="18" t="s">
        <v>8</v>
      </c>
    </row>
    <row r="158" spans="1:7" x14ac:dyDescent="0.25">
      <c r="A158" s="15">
        <f>424650000+659050000+528870000</f>
        <v>1612570000</v>
      </c>
      <c r="B158" s="16">
        <v>44313</v>
      </c>
      <c r="C158" s="17">
        <v>15.37</v>
      </c>
      <c r="D158" s="16">
        <v>49792</v>
      </c>
      <c r="E158" s="18" t="s">
        <v>8</v>
      </c>
    </row>
    <row r="159" spans="1:7" x14ac:dyDescent="0.25">
      <c r="A159" s="15">
        <f>321750000+892870000+1000000000</f>
        <v>2214620000</v>
      </c>
      <c r="B159" s="16">
        <v>44390</v>
      </c>
      <c r="C159" s="17">
        <v>15.387</v>
      </c>
      <c r="D159" s="16">
        <v>49869</v>
      </c>
      <c r="E159" s="18" t="s">
        <v>8</v>
      </c>
    </row>
    <row r="160" spans="1:7" x14ac:dyDescent="0.25">
      <c r="A160" s="15">
        <f>413311000+93750000+14090000</f>
        <v>521151000</v>
      </c>
      <c r="B160" s="16">
        <v>44495</v>
      </c>
      <c r="C160" s="17">
        <v>15.371</v>
      </c>
      <c r="D160" s="16">
        <v>49974</v>
      </c>
      <c r="E160" s="18" t="s">
        <v>8</v>
      </c>
    </row>
    <row r="161" spans="1:7" x14ac:dyDescent="0.25">
      <c r="A161" s="15">
        <v>10999808000</v>
      </c>
      <c r="B161" s="16">
        <v>44500</v>
      </c>
      <c r="C161" s="17">
        <v>15.371</v>
      </c>
      <c r="D161" s="16">
        <v>49979</v>
      </c>
      <c r="E161" s="18" t="s">
        <v>8</v>
      </c>
    </row>
    <row r="162" spans="1:7" x14ac:dyDescent="0.25">
      <c r="A162" s="15">
        <f>29300000+645235000</f>
        <v>674535000</v>
      </c>
      <c r="B162" s="16">
        <v>44579</v>
      </c>
      <c r="C162" s="17">
        <v>15.379</v>
      </c>
      <c r="D162" s="16">
        <v>50058</v>
      </c>
      <c r="E162" s="18" t="s">
        <v>8</v>
      </c>
    </row>
    <row r="163" spans="1:7" x14ac:dyDescent="0.25">
      <c r="A163" s="15"/>
      <c r="B163" s="20"/>
      <c r="C163" s="21"/>
      <c r="D163" s="20"/>
      <c r="E163" s="18"/>
    </row>
    <row r="164" spans="1:7" ht="20.25" x14ac:dyDescent="0.3">
      <c r="A164" s="22">
        <f>SUM(A8:A162)</f>
        <v>2224544408000</v>
      </c>
      <c r="B164" s="23"/>
      <c r="C164" s="24">
        <f>'[1]Latest W. Av. '!G244</f>
        <v>0.14662860308228559</v>
      </c>
      <c r="D164" s="23"/>
      <c r="E164" s="25"/>
    </row>
    <row r="165" spans="1:7" ht="20.25" x14ac:dyDescent="0.3">
      <c r="A165" s="22"/>
      <c r="B165" s="23"/>
      <c r="C165" s="24"/>
      <c r="D165" s="23"/>
      <c r="E165" s="25"/>
      <c r="G165" s="19"/>
    </row>
    <row r="166" spans="1:7" ht="25.5" x14ac:dyDescent="0.35">
      <c r="A166" s="10" t="s">
        <v>12</v>
      </c>
      <c r="B166" s="8"/>
      <c r="C166" s="9"/>
      <c r="D166" s="8"/>
      <c r="E166" s="7"/>
      <c r="G166" s="19"/>
    </row>
    <row r="167" spans="1:7" x14ac:dyDescent="0.25">
      <c r="A167" s="7"/>
      <c r="B167" s="8"/>
      <c r="C167" s="9"/>
      <c r="D167" s="8"/>
      <c r="E167" s="7"/>
      <c r="G167" s="19"/>
    </row>
    <row r="168" spans="1:7" ht="23.25" x14ac:dyDescent="0.35">
      <c r="A168" s="12" t="s">
        <v>3</v>
      </c>
      <c r="B168" s="12" t="s">
        <v>13</v>
      </c>
      <c r="C168" s="12" t="s">
        <v>14</v>
      </c>
      <c r="D168" s="12" t="s">
        <v>6</v>
      </c>
      <c r="E168" s="12" t="s">
        <v>7</v>
      </c>
    </row>
    <row r="169" spans="1:7" x14ac:dyDescent="0.25">
      <c r="A169" s="7"/>
      <c r="B169" s="8"/>
      <c r="C169" s="9"/>
      <c r="D169" s="8"/>
      <c r="E169" s="7"/>
    </row>
    <row r="170" spans="1:7" x14ac:dyDescent="0.25">
      <c r="A170" s="15">
        <f>1000000000+540000000+374700000+1629000000+1123000000+993500000</f>
        <v>5660200000</v>
      </c>
      <c r="B170" s="16">
        <v>44299</v>
      </c>
      <c r="C170" s="17">
        <v>13.689</v>
      </c>
      <c r="D170" s="16">
        <v>44845</v>
      </c>
      <c r="E170" s="18" t="s">
        <v>8</v>
      </c>
    </row>
    <row r="171" spans="1:7" x14ac:dyDescent="0.25">
      <c r="A171" s="15">
        <f>1200000000+2220500000+2802000000+2450000000</f>
        <v>8672500000</v>
      </c>
      <c r="B171" s="16">
        <v>44383</v>
      </c>
      <c r="C171" s="17">
        <v>13.73</v>
      </c>
      <c r="D171" s="16">
        <v>44929</v>
      </c>
      <c r="E171" s="18" t="s">
        <v>8</v>
      </c>
    </row>
    <row r="172" spans="1:7" x14ac:dyDescent="0.25">
      <c r="A172" s="15">
        <f>7595000000+2395000000+7443000000+8471000000+3802400000</f>
        <v>29706400000</v>
      </c>
      <c r="B172" s="16">
        <v>44411</v>
      </c>
      <c r="C172" s="17">
        <v>13.68</v>
      </c>
      <c r="D172" s="16">
        <v>44957</v>
      </c>
      <c r="E172" s="18" t="s">
        <v>8</v>
      </c>
    </row>
    <row r="173" spans="1:7" x14ac:dyDescent="0.25">
      <c r="A173" s="15">
        <f>5747050000+5933000000+5905000000+2925000000</f>
        <v>20510050000</v>
      </c>
      <c r="B173" s="16">
        <v>44446</v>
      </c>
      <c r="C173" s="17">
        <v>13.561</v>
      </c>
      <c r="D173" s="16">
        <v>44992</v>
      </c>
      <c r="E173" s="18" t="s">
        <v>8</v>
      </c>
    </row>
    <row r="174" spans="1:7" x14ac:dyDescent="0.25">
      <c r="A174" s="15">
        <f>1368250000+130000000+69300000+7488650000</f>
        <v>9056200000</v>
      </c>
      <c r="B174" s="16">
        <v>44474</v>
      </c>
      <c r="C174" s="17">
        <v>13.61</v>
      </c>
      <c r="D174" s="16">
        <v>45020</v>
      </c>
      <c r="E174" s="18" t="s">
        <v>8</v>
      </c>
    </row>
    <row r="175" spans="1:7" x14ac:dyDescent="0.25">
      <c r="A175" s="15">
        <f>372000000+6331500000+5380200000+28000000+3456600000</f>
        <v>15568300000</v>
      </c>
      <c r="B175" s="16">
        <v>44502</v>
      </c>
      <c r="C175" s="17">
        <v>13.702</v>
      </c>
      <c r="D175" s="16">
        <v>45048</v>
      </c>
      <c r="E175" s="18" t="s">
        <v>8</v>
      </c>
    </row>
    <row r="176" spans="1:7" x14ac:dyDescent="0.25">
      <c r="A176" s="15">
        <f>3000000000+1803500000+2262600000+1864750000</f>
        <v>8930850000</v>
      </c>
      <c r="B176" s="16">
        <v>44537</v>
      </c>
      <c r="C176" s="17">
        <v>13.711</v>
      </c>
      <c r="D176" s="16">
        <v>45083</v>
      </c>
      <c r="E176" s="18" t="s">
        <v>8</v>
      </c>
    </row>
    <row r="177" spans="1:7" x14ac:dyDescent="0.25">
      <c r="A177" s="15">
        <f>5106000000+14034600000</f>
        <v>19140600000</v>
      </c>
      <c r="B177" s="16">
        <v>44565</v>
      </c>
      <c r="C177" s="17">
        <v>13.718999999999999</v>
      </c>
      <c r="D177" s="16">
        <v>45111</v>
      </c>
      <c r="E177" s="18" t="s">
        <v>8</v>
      </c>
    </row>
    <row r="178" spans="1:7" x14ac:dyDescent="0.25">
      <c r="A178" s="15">
        <f>6088500000+7403500000</f>
        <v>13492000000</v>
      </c>
      <c r="B178" s="16">
        <v>44579</v>
      </c>
      <c r="C178" s="17">
        <v>13.718</v>
      </c>
      <c r="D178" s="16">
        <v>45125</v>
      </c>
      <c r="E178" s="18" t="s">
        <v>8</v>
      </c>
    </row>
    <row r="179" spans="1:7" x14ac:dyDescent="0.25">
      <c r="A179" s="15">
        <v>18077275000</v>
      </c>
      <c r="B179" s="16">
        <v>44592</v>
      </c>
      <c r="C179" s="17">
        <v>13.715</v>
      </c>
      <c r="D179" s="16">
        <v>45138</v>
      </c>
      <c r="E179" s="18" t="s">
        <v>8</v>
      </c>
    </row>
    <row r="180" spans="1:7" x14ac:dyDescent="0.25">
      <c r="A180" s="15">
        <f>1822500000+1969150000</f>
        <v>3791650000</v>
      </c>
      <c r="B180" s="16">
        <v>44593</v>
      </c>
      <c r="C180" s="17">
        <v>13.714</v>
      </c>
      <c r="D180" s="16">
        <v>45139</v>
      </c>
      <c r="E180" s="18" t="s">
        <v>8</v>
      </c>
    </row>
    <row r="181" spans="1:7" x14ac:dyDescent="0.25">
      <c r="A181" s="15">
        <f>12398200000+6365900000</f>
        <v>18764100000</v>
      </c>
      <c r="B181" s="16">
        <v>44607</v>
      </c>
      <c r="C181" s="17">
        <v>13.718999999999999</v>
      </c>
      <c r="D181" s="16">
        <v>45153</v>
      </c>
      <c r="E181" s="18" t="s">
        <v>8</v>
      </c>
    </row>
    <row r="182" spans="1:7" x14ac:dyDescent="0.25">
      <c r="A182" s="15">
        <f>18077275000</f>
        <v>18077275000</v>
      </c>
      <c r="B182" s="16">
        <v>44620</v>
      </c>
      <c r="C182" s="17">
        <v>13.715</v>
      </c>
      <c r="D182" s="16">
        <v>45166</v>
      </c>
      <c r="E182" s="18" t="s">
        <v>8</v>
      </c>
    </row>
    <row r="183" spans="1:7" x14ac:dyDescent="0.25">
      <c r="A183" s="15">
        <f>205250000+400100000</f>
        <v>605350000</v>
      </c>
      <c r="B183" s="16">
        <v>44621</v>
      </c>
      <c r="C183" s="17">
        <v>13.714</v>
      </c>
      <c r="D183" s="16">
        <v>45167</v>
      </c>
      <c r="E183" s="18" t="s">
        <v>8</v>
      </c>
    </row>
    <row r="184" spans="1:7" x14ac:dyDescent="0.25">
      <c r="A184" s="15">
        <f>3000000</f>
        <v>3000000</v>
      </c>
      <c r="B184" s="16">
        <v>44635</v>
      </c>
      <c r="C184" s="17">
        <v>13.72</v>
      </c>
      <c r="D184" s="16">
        <v>45181</v>
      </c>
      <c r="E184" s="18" t="s">
        <v>8</v>
      </c>
    </row>
    <row r="185" spans="1:7" x14ac:dyDescent="0.25">
      <c r="A185" s="15">
        <f>1000000000</f>
        <v>1000000000</v>
      </c>
      <c r="B185" s="16">
        <v>44649</v>
      </c>
      <c r="C185" s="17">
        <v>13.781000000000001</v>
      </c>
      <c r="D185" s="16">
        <v>45195</v>
      </c>
      <c r="E185" s="18" t="s">
        <v>8</v>
      </c>
    </row>
    <row r="186" spans="1:7" x14ac:dyDescent="0.25">
      <c r="A186" s="15">
        <v>18091893000</v>
      </c>
      <c r="B186" s="16">
        <v>44651</v>
      </c>
      <c r="C186" s="17">
        <v>13.781000000000001</v>
      </c>
      <c r="D186" s="16">
        <v>45197</v>
      </c>
      <c r="E186" s="18" t="s">
        <v>8</v>
      </c>
    </row>
    <row r="187" spans="1:7" x14ac:dyDescent="0.25">
      <c r="A187" s="15">
        <v>1762200000</v>
      </c>
      <c r="B187" s="16">
        <v>44656</v>
      </c>
      <c r="C187" s="17">
        <v>13.952999999999999</v>
      </c>
      <c r="D187" s="16">
        <v>45202</v>
      </c>
      <c r="E187" s="18" t="s">
        <v>8</v>
      </c>
    </row>
    <row r="188" spans="1:7" x14ac:dyDescent="0.25">
      <c r="A188" s="15">
        <v>28300000</v>
      </c>
      <c r="B188" s="16">
        <v>44670</v>
      </c>
      <c r="C188" s="17">
        <v>13.994</v>
      </c>
      <c r="D188" s="16">
        <v>45216</v>
      </c>
      <c r="E188" s="18" t="s">
        <v>8</v>
      </c>
    </row>
    <row r="189" spans="1:7" x14ac:dyDescent="0.25">
      <c r="A189" s="15">
        <v>6088250000</v>
      </c>
      <c r="B189" s="16">
        <v>44712</v>
      </c>
      <c r="C189" s="17">
        <v>13.994</v>
      </c>
      <c r="D189" s="16">
        <v>45258</v>
      </c>
      <c r="E189" s="18" t="s">
        <v>8</v>
      </c>
    </row>
    <row r="190" spans="1:7" x14ac:dyDescent="0.25">
      <c r="A190" s="7"/>
      <c r="B190" s="13"/>
      <c r="C190" s="9"/>
      <c r="D190" s="14"/>
      <c r="E190" s="7"/>
      <c r="G190" s="26"/>
    </row>
    <row r="191" spans="1:7" ht="20.25" x14ac:dyDescent="0.3">
      <c r="A191" s="22">
        <f>SUM(A170:A189)</f>
        <v>217026393000</v>
      </c>
      <c r="B191" s="27"/>
      <c r="C191" s="24">
        <f>'[1]Latest W. Av. '!G310</f>
        <v>0.1370656479132932</v>
      </c>
      <c r="D191" s="28"/>
      <c r="E191" s="25"/>
      <c r="G191" s="26"/>
    </row>
    <row r="192" spans="1:7" ht="20.25" x14ac:dyDescent="0.3">
      <c r="A192" s="22"/>
      <c r="B192" s="27"/>
      <c r="C192" s="24"/>
      <c r="D192" s="28"/>
      <c r="E192" s="25"/>
      <c r="G192" s="26"/>
    </row>
    <row r="193" spans="1:7" ht="20.25" x14ac:dyDescent="0.3">
      <c r="A193" s="22"/>
      <c r="B193" s="27"/>
      <c r="C193" s="24"/>
      <c r="D193" s="28"/>
      <c r="E193" s="25"/>
      <c r="G193" s="26"/>
    </row>
    <row r="194" spans="1:7" ht="25.5" x14ac:dyDescent="0.35">
      <c r="A194" s="10" t="s">
        <v>15</v>
      </c>
      <c r="B194" s="8"/>
      <c r="C194" s="9"/>
      <c r="D194" s="8"/>
      <c r="E194" s="7"/>
      <c r="G194" s="26"/>
    </row>
    <row r="195" spans="1:7" x14ac:dyDescent="0.25">
      <c r="A195" s="7"/>
      <c r="B195" s="8"/>
      <c r="C195" s="9"/>
      <c r="D195" s="8"/>
      <c r="E195" s="7"/>
      <c r="G195" s="26"/>
    </row>
    <row r="196" spans="1:7" ht="23.25" x14ac:dyDescent="0.35">
      <c r="A196" s="12" t="s">
        <v>3</v>
      </c>
      <c r="B196" s="12" t="s">
        <v>13</v>
      </c>
      <c r="C196" s="12" t="s">
        <v>5</v>
      </c>
      <c r="D196" s="12" t="s">
        <v>6</v>
      </c>
      <c r="E196" s="12" t="s">
        <v>7</v>
      </c>
      <c r="G196" s="26"/>
    </row>
    <row r="197" spans="1:7" x14ac:dyDescent="0.25">
      <c r="A197" s="7"/>
      <c r="B197" s="8"/>
      <c r="C197" s="9"/>
      <c r="D197" s="8"/>
      <c r="E197" s="7"/>
      <c r="G197" s="26"/>
    </row>
    <row r="198" spans="1:7" x14ac:dyDescent="0.25">
      <c r="A198" s="15">
        <f>1250000000</f>
        <v>1250000000</v>
      </c>
      <c r="B198" s="16">
        <v>43152</v>
      </c>
      <c r="C198" s="21">
        <v>5.577</v>
      </c>
      <c r="D198" s="16">
        <v>44978</v>
      </c>
      <c r="E198" s="18" t="s">
        <v>16</v>
      </c>
      <c r="G198" s="26"/>
    </row>
    <row r="199" spans="1:7" x14ac:dyDescent="0.25">
      <c r="A199" s="15">
        <v>500000000</v>
      </c>
      <c r="B199" s="16">
        <v>43789</v>
      </c>
      <c r="C199" s="21">
        <v>4.55</v>
      </c>
      <c r="D199" s="16">
        <v>45250</v>
      </c>
      <c r="E199" s="18" t="s">
        <v>17</v>
      </c>
      <c r="G199" s="26"/>
    </row>
    <row r="200" spans="1:7" x14ac:dyDescent="0.25">
      <c r="A200" s="15">
        <v>750000000</v>
      </c>
      <c r="B200" s="16">
        <v>43522</v>
      </c>
      <c r="C200" s="21">
        <v>6.2004000000000001</v>
      </c>
      <c r="D200" s="16">
        <v>45352</v>
      </c>
      <c r="E200" s="18" t="s">
        <v>18</v>
      </c>
      <c r="G200" s="26"/>
    </row>
    <row r="201" spans="1:7" x14ac:dyDescent="0.25">
      <c r="A201" s="15">
        <v>1250000000</v>
      </c>
      <c r="B201" s="16">
        <v>43980</v>
      </c>
      <c r="C201" s="21">
        <v>5.75</v>
      </c>
      <c r="D201" s="16">
        <v>45441</v>
      </c>
      <c r="E201" s="18" t="s">
        <v>17</v>
      </c>
      <c r="G201" s="26"/>
    </row>
    <row r="202" spans="1:7" x14ac:dyDescent="0.25">
      <c r="A202" s="15">
        <v>1320000000</v>
      </c>
      <c r="B202" s="16">
        <v>42684</v>
      </c>
      <c r="C202" s="21">
        <v>6.75</v>
      </c>
      <c r="D202" s="16">
        <v>45606</v>
      </c>
      <c r="E202" s="18" t="s">
        <v>19</v>
      </c>
      <c r="G202" s="26"/>
    </row>
    <row r="203" spans="1:7" x14ac:dyDescent="0.25">
      <c r="A203" s="15">
        <v>1500000000</v>
      </c>
      <c r="B203" s="16">
        <v>42166</v>
      </c>
      <c r="C203" s="21">
        <v>5.875</v>
      </c>
      <c r="D203" s="16">
        <v>45819</v>
      </c>
      <c r="E203" s="18" t="s">
        <v>9</v>
      </c>
      <c r="G203" s="26"/>
    </row>
    <row r="204" spans="1:7" x14ac:dyDescent="0.25">
      <c r="A204" s="29">
        <v>750000000</v>
      </c>
      <c r="B204" s="30">
        <v>44110</v>
      </c>
      <c r="C204" s="31">
        <v>5.25</v>
      </c>
      <c r="D204" s="30">
        <v>45936</v>
      </c>
      <c r="E204" s="32" t="s">
        <v>17</v>
      </c>
      <c r="G204" s="26"/>
    </row>
    <row r="205" spans="1:7" x14ac:dyDescent="0.25">
      <c r="A205" s="15">
        <v>750000000</v>
      </c>
      <c r="B205" s="16">
        <v>44243</v>
      </c>
      <c r="C205" s="21">
        <v>3.875</v>
      </c>
      <c r="D205" s="16">
        <v>46069</v>
      </c>
      <c r="E205" s="18" t="s">
        <v>17</v>
      </c>
      <c r="G205" s="26"/>
    </row>
    <row r="206" spans="1:7" x14ac:dyDescent="0.25">
      <c r="A206" s="15">
        <v>860000000</v>
      </c>
      <c r="B206" s="16">
        <v>43423</v>
      </c>
      <c r="C206" s="21">
        <v>7.125</v>
      </c>
      <c r="D206" s="16">
        <v>46336</v>
      </c>
      <c r="E206" s="18" t="s">
        <v>18</v>
      </c>
      <c r="G206" s="26"/>
    </row>
    <row r="207" spans="1:7" x14ac:dyDescent="0.25">
      <c r="A207" s="15">
        <v>1000000000</v>
      </c>
      <c r="B207" s="16">
        <v>42766</v>
      </c>
      <c r="C207" s="21">
        <v>7.5</v>
      </c>
      <c r="D207" s="16">
        <v>46418</v>
      </c>
      <c r="E207" s="18" t="s">
        <v>20</v>
      </c>
      <c r="G207" s="26"/>
    </row>
    <row r="208" spans="1:7" x14ac:dyDescent="0.25">
      <c r="A208" s="15">
        <v>1000000000</v>
      </c>
      <c r="B208" s="16">
        <v>42884</v>
      </c>
      <c r="C208" s="21">
        <v>7.5</v>
      </c>
      <c r="D208" s="16">
        <v>46418</v>
      </c>
      <c r="E208" s="18" t="s">
        <v>20</v>
      </c>
      <c r="G208" s="26"/>
    </row>
    <row r="209" spans="1:7" x14ac:dyDescent="0.25">
      <c r="A209" s="15">
        <v>1125000000</v>
      </c>
      <c r="B209" s="16">
        <v>44469</v>
      </c>
      <c r="C209" s="21">
        <v>5.8</v>
      </c>
      <c r="D209" s="16">
        <v>46660</v>
      </c>
      <c r="E209" s="18" t="s">
        <v>17</v>
      </c>
      <c r="G209" s="26"/>
    </row>
    <row r="210" spans="1:7" x14ac:dyDescent="0.25">
      <c r="A210" s="15">
        <v>1250000000</v>
      </c>
      <c r="B210" s="16">
        <v>43152</v>
      </c>
      <c r="C210" s="21">
        <v>6.5880000000000001</v>
      </c>
      <c r="D210" s="16">
        <v>46804</v>
      </c>
      <c r="E210" s="18" t="s">
        <v>16</v>
      </c>
      <c r="G210" s="26"/>
    </row>
    <row r="211" spans="1:7" x14ac:dyDescent="0.25">
      <c r="A211" s="15">
        <v>1320000000</v>
      </c>
      <c r="B211" s="16">
        <v>42684</v>
      </c>
      <c r="C211" s="21">
        <v>7</v>
      </c>
      <c r="D211" s="16">
        <v>47067</v>
      </c>
      <c r="E211" s="18" t="s">
        <v>19</v>
      </c>
      <c r="G211" s="26"/>
    </row>
    <row r="212" spans="1:7" x14ac:dyDescent="0.25">
      <c r="A212" s="15">
        <v>1750000000</v>
      </c>
      <c r="B212" s="16">
        <v>43522</v>
      </c>
      <c r="C212" s="21">
        <v>7.6002999999999998</v>
      </c>
      <c r="D212" s="16">
        <v>47178</v>
      </c>
      <c r="E212" s="18" t="s">
        <v>18</v>
      </c>
      <c r="G212" s="26"/>
    </row>
    <row r="213" spans="1:7" x14ac:dyDescent="0.25">
      <c r="A213" s="15">
        <v>1710000000</v>
      </c>
      <c r="B213" s="16">
        <v>43423</v>
      </c>
      <c r="C213" s="21">
        <v>7.625</v>
      </c>
      <c r="D213" s="16">
        <v>47797</v>
      </c>
      <c r="E213" s="18" t="s">
        <v>18</v>
      </c>
      <c r="G213" s="26"/>
    </row>
    <row r="214" spans="1:7" x14ac:dyDescent="0.25">
      <c r="A214" s="15">
        <v>1500000000</v>
      </c>
      <c r="B214" s="16">
        <v>44243</v>
      </c>
      <c r="C214" s="21">
        <v>5.875</v>
      </c>
      <c r="D214" s="16">
        <v>47895</v>
      </c>
      <c r="E214" s="18" t="s">
        <v>17</v>
      </c>
      <c r="G214" s="26"/>
    </row>
    <row r="215" spans="1:7" x14ac:dyDescent="0.25">
      <c r="A215" s="15">
        <v>1000000000</v>
      </c>
      <c r="B215" s="16">
        <v>43789</v>
      </c>
      <c r="C215" s="21">
        <v>7.0529999999999999</v>
      </c>
      <c r="D215" s="16">
        <v>48228</v>
      </c>
      <c r="E215" s="18" t="s">
        <v>17</v>
      </c>
      <c r="G215" s="26"/>
    </row>
    <row r="216" spans="1:7" x14ac:dyDescent="0.25">
      <c r="A216" s="15">
        <v>1750000000</v>
      </c>
      <c r="B216" s="16">
        <v>43980</v>
      </c>
      <c r="C216" s="21">
        <v>7.625</v>
      </c>
      <c r="D216" s="16">
        <v>48363</v>
      </c>
      <c r="E216" s="18" t="s">
        <v>17</v>
      </c>
      <c r="G216" s="26"/>
    </row>
    <row r="217" spans="1:7" x14ac:dyDescent="0.25">
      <c r="A217" s="15">
        <v>1125000000</v>
      </c>
      <c r="B217" s="16">
        <v>44469</v>
      </c>
      <c r="C217" s="21">
        <v>7.3</v>
      </c>
      <c r="D217" s="16">
        <v>48852</v>
      </c>
      <c r="E217" s="18" t="s">
        <v>17</v>
      </c>
      <c r="G217" s="26"/>
    </row>
    <row r="218" spans="1:7" x14ac:dyDescent="0.25">
      <c r="A218" s="15">
        <v>500000000</v>
      </c>
      <c r="B218" s="16">
        <v>40298</v>
      </c>
      <c r="C218" s="21">
        <v>6.875</v>
      </c>
      <c r="D218" s="16">
        <v>51256</v>
      </c>
      <c r="E218" s="18" t="s">
        <v>21</v>
      </c>
      <c r="G218" s="26"/>
    </row>
    <row r="219" spans="1:7" x14ac:dyDescent="0.25">
      <c r="A219" s="15">
        <v>1250000000</v>
      </c>
      <c r="B219" s="16">
        <v>42766</v>
      </c>
      <c r="C219" s="21">
        <v>8.5</v>
      </c>
      <c r="D219" s="16">
        <v>53723</v>
      </c>
      <c r="E219" s="18" t="s">
        <v>20</v>
      </c>
      <c r="G219" s="26"/>
    </row>
    <row r="220" spans="1:7" x14ac:dyDescent="0.25">
      <c r="A220" s="15">
        <v>1250000000</v>
      </c>
      <c r="B220" s="16">
        <v>42884</v>
      </c>
      <c r="C220" s="21">
        <v>8.5</v>
      </c>
      <c r="D220" s="16">
        <v>53723</v>
      </c>
      <c r="E220" s="18" t="s">
        <v>20</v>
      </c>
      <c r="G220" s="26"/>
    </row>
    <row r="221" spans="1:7" x14ac:dyDescent="0.25">
      <c r="A221" s="15">
        <v>1500000000</v>
      </c>
      <c r="B221" s="16">
        <v>43152</v>
      </c>
      <c r="C221" s="21">
        <v>7.9029999999999996</v>
      </c>
      <c r="D221" s="16">
        <v>54109</v>
      </c>
      <c r="E221" s="18" t="s">
        <v>16</v>
      </c>
      <c r="G221" s="26"/>
    </row>
    <row r="222" spans="1:7" x14ac:dyDescent="0.25">
      <c r="A222" s="15">
        <v>1500000000</v>
      </c>
      <c r="B222" s="16">
        <v>43522</v>
      </c>
      <c r="C222" s="21">
        <v>8.7002000000000006</v>
      </c>
      <c r="D222" s="16">
        <v>54483</v>
      </c>
      <c r="E222" s="18" t="s">
        <v>18</v>
      </c>
      <c r="G222" s="26"/>
    </row>
    <row r="223" spans="1:7" x14ac:dyDescent="0.25">
      <c r="A223" s="15">
        <f>2000000000</f>
        <v>2000000000</v>
      </c>
      <c r="B223" s="16">
        <v>43980</v>
      </c>
      <c r="C223" s="21">
        <v>8.875</v>
      </c>
      <c r="D223" s="16">
        <v>54937</v>
      </c>
      <c r="E223" s="18" t="s">
        <v>17</v>
      </c>
      <c r="G223" s="26"/>
    </row>
    <row r="224" spans="1:7" x14ac:dyDescent="0.25">
      <c r="A224" s="15">
        <v>750000000</v>
      </c>
      <c r="B224" s="16">
        <v>44469</v>
      </c>
      <c r="C224" s="21">
        <v>8.75</v>
      </c>
      <c r="D224" s="16">
        <v>55426</v>
      </c>
      <c r="E224" s="18" t="s">
        <v>17</v>
      </c>
      <c r="G224" s="26"/>
    </row>
    <row r="225" spans="1:7" x14ac:dyDescent="0.25">
      <c r="A225" s="15">
        <v>500000000</v>
      </c>
      <c r="B225" s="16">
        <v>43789</v>
      </c>
      <c r="C225" s="21">
        <v>8.15</v>
      </c>
      <c r="D225" s="16">
        <v>58399</v>
      </c>
      <c r="E225" s="18" t="s">
        <v>17</v>
      </c>
      <c r="G225" s="26"/>
    </row>
    <row r="226" spans="1:7" x14ac:dyDescent="0.25">
      <c r="A226" s="15">
        <v>1500000000</v>
      </c>
      <c r="B226" s="16">
        <v>44243</v>
      </c>
      <c r="C226" s="21">
        <v>7.5</v>
      </c>
      <c r="D226" s="16">
        <v>58853</v>
      </c>
      <c r="E226" s="18" t="s">
        <v>17</v>
      </c>
      <c r="G226" s="26"/>
    </row>
    <row r="227" spans="1:7" x14ac:dyDescent="0.25">
      <c r="A227" s="7"/>
      <c r="B227" s="13"/>
      <c r="C227" s="9"/>
      <c r="D227" s="14"/>
      <c r="E227" s="7"/>
    </row>
    <row r="228" spans="1:7" ht="20.25" x14ac:dyDescent="0.3">
      <c r="A228" s="22">
        <f>SUM(A198:A226)</f>
        <v>34210000000</v>
      </c>
      <c r="B228" s="27"/>
      <c r="C228" s="24">
        <f>'[1]Latest W. Av. '!G363</f>
        <v>7.1256540485238232E-2</v>
      </c>
      <c r="D228" s="28"/>
      <c r="E228" s="25"/>
    </row>
    <row r="229" spans="1:7" x14ac:dyDescent="0.25">
      <c r="A229" s="7"/>
      <c r="B229" s="13"/>
      <c r="C229" s="9"/>
      <c r="D229" s="14"/>
      <c r="E229" s="7"/>
    </row>
    <row r="230" spans="1:7" x14ac:dyDescent="0.25">
      <c r="A230" s="33" t="s">
        <v>22</v>
      </c>
      <c r="B230" s="13"/>
      <c r="C230" s="9"/>
      <c r="D230" s="14"/>
      <c r="E230" s="7"/>
      <c r="G230" s="26"/>
    </row>
    <row r="231" spans="1:7" x14ac:dyDescent="0.25">
      <c r="A231" s="33" t="s">
        <v>23</v>
      </c>
      <c r="B231" s="13"/>
      <c r="C231" s="9"/>
      <c r="D231" s="14"/>
      <c r="E231" s="7"/>
      <c r="G231" s="26"/>
    </row>
    <row r="232" spans="1:7" x14ac:dyDescent="0.25">
      <c r="A232" s="33" t="s">
        <v>24</v>
      </c>
      <c r="B232" s="13"/>
      <c r="C232" s="9"/>
      <c r="D232" s="14"/>
      <c r="E232" s="7"/>
      <c r="G232" s="26"/>
    </row>
    <row r="233" spans="1:7" x14ac:dyDescent="0.25">
      <c r="A233" s="34" t="s">
        <v>25</v>
      </c>
      <c r="B233" s="35"/>
      <c r="D233" s="36"/>
      <c r="G233" s="26"/>
    </row>
    <row r="234" spans="1:7" x14ac:dyDescent="0.25">
      <c r="B234" s="35"/>
      <c r="D234" s="36"/>
      <c r="G234" s="26"/>
    </row>
    <row r="235" spans="1:7" ht="25.5" x14ac:dyDescent="0.35">
      <c r="A235" s="10" t="s">
        <v>26</v>
      </c>
      <c r="B235" s="8"/>
      <c r="C235" s="9"/>
      <c r="D235" s="8"/>
      <c r="E235" s="7"/>
      <c r="G235" s="26"/>
    </row>
    <row r="236" spans="1:7" x14ac:dyDescent="0.25">
      <c r="A236" s="7"/>
      <c r="B236" s="8"/>
      <c r="C236" s="9"/>
      <c r="D236" s="8"/>
      <c r="E236" s="7"/>
      <c r="G236" s="26"/>
    </row>
    <row r="237" spans="1:7" ht="23.25" x14ac:dyDescent="0.35">
      <c r="A237" s="12" t="s">
        <v>3</v>
      </c>
      <c r="B237" s="12" t="s">
        <v>13</v>
      </c>
      <c r="C237" s="12" t="s">
        <v>5</v>
      </c>
      <c r="D237" s="12" t="s">
        <v>6</v>
      </c>
      <c r="E237" s="12" t="s">
        <v>7</v>
      </c>
    </row>
    <row r="238" spans="1:7" x14ac:dyDescent="0.25">
      <c r="A238" s="15"/>
      <c r="B238" s="16"/>
      <c r="C238" s="17"/>
      <c r="D238" s="16"/>
      <c r="E238" s="18"/>
    </row>
    <row r="239" spans="1:7" x14ac:dyDescent="0.25">
      <c r="A239" s="15">
        <v>750000000</v>
      </c>
      <c r="B239" s="16">
        <v>43566</v>
      </c>
      <c r="C239" s="17">
        <v>4.75</v>
      </c>
      <c r="D239" s="16">
        <v>45758</v>
      </c>
      <c r="E239" s="18" t="s">
        <v>27</v>
      </c>
    </row>
    <row r="240" spans="1:7" x14ac:dyDescent="0.25">
      <c r="A240" s="15">
        <v>1000000000</v>
      </c>
      <c r="B240" s="16">
        <v>43206</v>
      </c>
      <c r="C240" s="17">
        <v>4.75</v>
      </c>
      <c r="D240" s="16">
        <v>46128</v>
      </c>
      <c r="E240" s="18" t="s">
        <v>28</v>
      </c>
    </row>
    <row r="241" spans="1:7" x14ac:dyDescent="0.25">
      <c r="A241" s="15">
        <v>1000000000</v>
      </c>
      <c r="B241" s="16">
        <v>43206</v>
      </c>
      <c r="C241" s="17">
        <v>5.625</v>
      </c>
      <c r="D241" s="16">
        <v>47589</v>
      </c>
      <c r="E241" s="18" t="s">
        <v>28</v>
      </c>
    </row>
    <row r="242" spans="1:7" x14ac:dyDescent="0.25">
      <c r="A242" s="15">
        <v>1250000000</v>
      </c>
      <c r="B242" s="16">
        <v>43566</v>
      </c>
      <c r="C242" s="17">
        <v>6.375</v>
      </c>
      <c r="D242" s="16">
        <v>47949</v>
      </c>
      <c r="E242" s="18" t="s">
        <v>27</v>
      </c>
    </row>
    <row r="243" spans="1:7" x14ac:dyDescent="0.25">
      <c r="A243" s="15"/>
      <c r="B243" s="16"/>
      <c r="C243" s="17"/>
      <c r="D243" s="16"/>
      <c r="E243" s="18"/>
    </row>
    <row r="244" spans="1:7" ht="20.25" x14ac:dyDescent="0.3">
      <c r="A244" s="22">
        <f>SUM(A239:A243)</f>
        <v>4000000000</v>
      </c>
      <c r="B244" s="27"/>
      <c r="C244" s="24">
        <f>'[1]Latest W. Av. '!G379</f>
        <v>5.4765624999999998E-2</v>
      </c>
      <c r="D244" s="28"/>
      <c r="E244" s="25"/>
    </row>
    <row r="246" spans="1:7" x14ac:dyDescent="0.25">
      <c r="A246" s="33" t="s">
        <v>29</v>
      </c>
    </row>
    <row r="247" spans="1:7" x14ac:dyDescent="0.25">
      <c r="A247" s="33" t="s">
        <v>30</v>
      </c>
    </row>
    <row r="249" spans="1:7" ht="25.5" x14ac:dyDescent="0.35">
      <c r="A249" s="10" t="s">
        <v>31</v>
      </c>
      <c r="B249" s="8"/>
      <c r="C249" s="9"/>
      <c r="D249" s="8"/>
      <c r="E249" s="7"/>
      <c r="G249" s="26"/>
    </row>
    <row r="250" spans="1:7" x14ac:dyDescent="0.25">
      <c r="A250" s="7"/>
      <c r="B250" s="8"/>
      <c r="C250" s="9"/>
      <c r="D250" s="8"/>
      <c r="E250" s="7"/>
      <c r="G250" s="26"/>
    </row>
    <row r="251" spans="1:7" ht="23.25" x14ac:dyDescent="0.35">
      <c r="A251" s="12" t="s">
        <v>3</v>
      </c>
      <c r="B251" s="12" t="s">
        <v>13</v>
      </c>
      <c r="C251" s="12" t="s">
        <v>5</v>
      </c>
      <c r="D251" s="12" t="s">
        <v>6</v>
      </c>
      <c r="E251" s="12" t="s">
        <v>7</v>
      </c>
    </row>
    <row r="252" spans="1:7" x14ac:dyDescent="0.25">
      <c r="A252" s="15"/>
      <c r="B252" s="16"/>
      <c r="C252" s="17"/>
      <c r="D252" s="16"/>
      <c r="E252" s="18"/>
    </row>
    <row r="253" spans="1:7" x14ac:dyDescent="0.25">
      <c r="A253" s="15">
        <v>60000000000</v>
      </c>
      <c r="B253" s="16">
        <v>44651</v>
      </c>
      <c r="C253" s="17">
        <v>0.85</v>
      </c>
      <c r="D253" s="16">
        <v>46477</v>
      </c>
      <c r="E253" s="18" t="s">
        <v>32</v>
      </c>
    </row>
    <row r="254" spans="1:7" x14ac:dyDescent="0.25">
      <c r="A254" s="15"/>
      <c r="B254" s="16"/>
      <c r="C254" s="17"/>
      <c r="D254" s="16"/>
      <c r="E254" s="18"/>
    </row>
    <row r="255" spans="1:7" ht="20.25" x14ac:dyDescent="0.3">
      <c r="A255" s="22">
        <f>SUM(A253:A254)</f>
        <v>60000000000</v>
      </c>
      <c r="B255" s="27"/>
      <c r="C255" s="24">
        <f>'[1]Latest W. Av. '!G390</f>
        <v>8.5000000000000006E-3</v>
      </c>
      <c r="D255" s="28"/>
      <c r="E255" s="25"/>
    </row>
    <row r="257" spans="1:1" x14ac:dyDescent="0.25">
      <c r="A257" s="33" t="s">
        <v>33</v>
      </c>
    </row>
    <row r="258" spans="1:1" x14ac:dyDescent="0.25">
      <c r="A258" s="33"/>
    </row>
  </sheetData>
  <mergeCells count="2">
    <mergeCell ref="A2:E2"/>
    <mergeCell ref="A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2022-07-27T10:00:56Z</dcterms:created>
  <dcterms:modified xsi:type="dcterms:W3CDTF">2022-07-27T10:01:52Z</dcterms:modified>
</cp:coreProperties>
</file>